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9000" activeTab="0"/>
  </bookViews>
  <sheets>
    <sheet name="Anketa_2015" sheetId="1" r:id="rId1"/>
    <sheet name="Eilute" sheetId="2" state="hidden" r:id="rId2"/>
  </sheets>
  <definedNames>
    <definedName name="_xlnm.Print_Area" localSheetId="0">'Anketa_2015'!$A$1:$N$74</definedName>
  </definedNames>
  <calcPr fullCalcOnLoad="1"/>
</workbook>
</file>

<file path=xl/sharedStrings.xml><?xml version="1.0" encoding="utf-8"?>
<sst xmlns="http://schemas.openxmlformats.org/spreadsheetml/2006/main" count="204" uniqueCount="168">
  <si>
    <t>Iš viso dalykų:</t>
  </si>
  <si>
    <t>Pamokų skaičius III klasėje:</t>
  </si>
  <si>
    <t>Klasė</t>
  </si>
  <si>
    <t>Pamokų skaičius IV klasėje:</t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</si>
  <si>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</si>
  <si>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</si>
  <si>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</si>
  <si>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</si>
  <si>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</si>
  <si>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</si>
  <si>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</si>
  <si>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</si>
  <si>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</si>
  <si>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</si>
  <si>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</si>
  <si>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</si>
  <si>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</si>
  <si>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</si>
  <si>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</si>
  <si>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B R A N D U O L I O   D A L Y K A I</t>
  </si>
  <si>
    <t>Dorinis ugdymas</t>
  </si>
  <si>
    <t>–</t>
  </si>
  <si>
    <t>I užsienio kalba</t>
  </si>
  <si>
    <t>Anglų kalba</t>
  </si>
  <si>
    <t>Vokiečių kalba</t>
  </si>
  <si>
    <t>Istorija</t>
  </si>
  <si>
    <t>Geografija</t>
  </si>
  <si>
    <t>Matematika</t>
  </si>
  <si>
    <t>Biologija</t>
  </si>
  <si>
    <t>Fizika</t>
  </si>
  <si>
    <t>Chemija</t>
  </si>
  <si>
    <t>Dailė</t>
  </si>
  <si>
    <t>Teatras</t>
  </si>
  <si>
    <t>Kūno kultūra</t>
  </si>
  <si>
    <t>Bendroji kūno kultūra</t>
  </si>
  <si>
    <t>II užsienio kalba</t>
  </si>
  <si>
    <t>Rusų kalba</t>
  </si>
  <si>
    <t>Informacinės technologijos</t>
  </si>
  <si>
    <t>Prancūzų kalba</t>
  </si>
  <si>
    <t>Psichologija</t>
  </si>
  <si>
    <t>Braižyba</t>
  </si>
  <si>
    <t>A kursu (išplėstiniu):</t>
  </si>
  <si>
    <t>B kursu (bendruoju):</t>
  </si>
  <si>
    <t>Data</t>
  </si>
  <si>
    <t>Pavardė, vardas</t>
  </si>
  <si>
    <t>Branduolio dalykai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</si>
  <si>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</si>
  <si>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</si>
  <si>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</si>
  <si>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</si>
  <si>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</si>
  <si>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</si>
  <si>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</si>
  <si>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</si>
  <si>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</si>
  <si>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</si>
  <si>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</si>
  <si>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</si>
  <si>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</si>
  <si>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</si>
  <si>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</si>
  <si>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</si>
  <si>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</si>
  <si>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</si>
  <si>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</si>
  <si>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</si>
  <si>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</si>
  <si>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Mokinio parašas</t>
  </si>
  <si>
    <t>Tėvų parašas</t>
  </si>
  <si>
    <t>Ekonomikos teorijos pagrindai</t>
  </si>
  <si>
    <t>Vadybos pagrindai</t>
  </si>
  <si>
    <t>Teisės pagrindai</t>
  </si>
  <si>
    <t>Matematikos olimpiadinių uždavinių sprendimas, A kursui</t>
  </si>
  <si>
    <t>Eksperimentas biologijoje, A kursui</t>
  </si>
  <si>
    <t>Fizikos  uždavinių sprendimo būdai ir metodai, A kursui</t>
  </si>
  <si>
    <t>Programavimo pagrindai</t>
  </si>
  <si>
    <t>Etika B</t>
  </si>
  <si>
    <t>Lietuvių A 5 val.</t>
  </si>
  <si>
    <t>Lietuvių A 6 val.</t>
  </si>
  <si>
    <t>Istorija A 3 val.</t>
  </si>
  <si>
    <t>Istorija A 4 val.</t>
  </si>
  <si>
    <t>Technologijos</t>
  </si>
  <si>
    <t>Taikomojo meno, amatų ir dizaino technologijos B</t>
  </si>
  <si>
    <t>Tekstilės ir aprangos technologijos B</t>
  </si>
  <si>
    <t>Aerobika B</t>
  </si>
  <si>
    <t>Dalykų skaičius</t>
  </si>
  <si>
    <t>Pamokų skaičius 
III klasėje:</t>
  </si>
  <si>
    <t>Pamokų skaičius 
IV klasėje:</t>
  </si>
  <si>
    <t>Chemijos eksperimentų, uždavinių ir tekstinių užduočių sprendimas, A kusui</t>
  </si>
  <si>
    <t>Vardas</t>
  </si>
  <si>
    <t>Pavardė</t>
  </si>
  <si>
    <t>Matematika A 5 val.</t>
  </si>
  <si>
    <t>Matematika A 6 val.</t>
  </si>
  <si>
    <t>Dailė A</t>
  </si>
  <si>
    <t>Muzika A</t>
  </si>
  <si>
    <t>Teatras A</t>
  </si>
  <si>
    <t>Turizmas ir mityba B</t>
  </si>
  <si>
    <t>Statyba ir medžio apdirbimas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</si>
  <si>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</si>
  <si>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</si>
  <si>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</si>
  <si>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</si>
  <si>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Prancūzų kalba pradedantiesiems</t>
  </si>
  <si>
    <t>A kursu</t>
  </si>
  <si>
    <t>Tikyba</t>
  </si>
  <si>
    <t>Grafinis dizainas</t>
  </si>
  <si>
    <t>Šokis</t>
  </si>
  <si>
    <t>Lotynų kalba</t>
  </si>
  <si>
    <t>Kaligrafijos pagrindai</t>
  </si>
  <si>
    <t>Medžiagos ir jų kitimai</t>
  </si>
  <si>
    <t>Ekonomika anglų kalba</t>
  </si>
  <si>
    <t>Programavimo praktikumas</t>
  </si>
  <si>
    <t>Viešo kalbėjimo modulis</t>
  </si>
  <si>
    <t>Grafinis dizaimas</t>
  </si>
  <si>
    <t>Šokis B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</si>
  <si>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</si>
  <si>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</si>
  <si>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</si>
  <si>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</si>
  <si>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</si>
  <si>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</si>
  <si>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Verslas ir vadyba, mažmeninė prekyba</t>
  </si>
  <si>
    <t>Tikyba šv r</t>
  </si>
  <si>
    <t>Anglų k.</t>
  </si>
  <si>
    <t>Pasiruošimas IELTS egzaminui</t>
  </si>
  <si>
    <t>Kalbinių kompetencijų ugdymas</t>
  </si>
  <si>
    <t>Lietuvių kalba ir literatūra</t>
  </si>
  <si>
    <t>Kalbos</t>
  </si>
  <si>
    <t>Užsiemio kalba (vokiečių) (2-oji)</t>
  </si>
  <si>
    <t>Užsiemio kalba (rusų) (2-oji)</t>
  </si>
  <si>
    <t>Užsiemio kalba (prancūzų) (2-oji)</t>
  </si>
  <si>
    <t>Karjeros planavimas</t>
  </si>
  <si>
    <t>Biologija praktiškai, A kursui</t>
  </si>
  <si>
    <t>Lietuvių kalba</t>
  </si>
  <si>
    <t>Kalbos vartojimo, rašybos ir skyrybos praktikumas, A kursui</t>
  </si>
  <si>
    <t>Darbas su istorijos šaltiniais, A kursui</t>
  </si>
  <si>
    <t>Užsienio kalba (anglų) (1-oji)</t>
  </si>
  <si>
    <t>Vokiečių kalba pradedantiesiems</t>
  </si>
  <si>
    <t>Etika</t>
  </si>
  <si>
    <t>Muzika</t>
  </si>
  <si>
    <t>Rusų kalba pradedantiesiems</t>
  </si>
  <si>
    <t>Ispanų kalba pradedantiesiems</t>
  </si>
  <si>
    <t xml:space="preserve">Menai </t>
  </si>
  <si>
    <t>Matematinė logika (ypač gabiems)</t>
  </si>
  <si>
    <t>Žymiausių rusų menininkų kūryba, A2-B2 lygiui</t>
  </si>
  <si>
    <t>Žodinė raiška (kalbėjimas) B1-B2 lygiui</t>
  </si>
  <si>
    <t>Turintiems pradines kalbos žinias, A2 lygiui</t>
  </si>
  <si>
    <t>Ekonomika ir verslumas</t>
  </si>
  <si>
    <t>Išplės-tinis kursas (A)</t>
  </si>
  <si>
    <t>Bendrasis kursas (B)</t>
  </si>
  <si>
    <r>
      <t xml:space="preserve">Pasirinktą dalyką, kursą, modulį pažymėkite: </t>
    </r>
    <r>
      <rPr>
        <b/>
        <sz val="10"/>
        <rFont val="Wingdings 2"/>
        <family val="1"/>
      </rPr>
      <t>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</t>
    </r>
  </si>
  <si>
    <r>
      <t>PASIRENKAMIEJI DALYKAI</t>
    </r>
    <r>
      <rPr>
        <sz val="10"/>
        <rFont val="Times New Roman"/>
        <family val="1"/>
      </rPr>
      <t>, įskaičiuojami į dalykų ir pamokų skaičių</t>
    </r>
  </si>
  <si>
    <r>
      <t>MODULIAI</t>
    </r>
    <r>
      <rPr>
        <sz val="10"/>
        <rFont val="Times New Roman"/>
        <family val="1"/>
      </rPr>
      <t>, įskaičiuojami į pamokų skaičių, bet neįskaičiuojami į dalykų skaičių</t>
    </r>
  </si>
  <si>
    <t>Ispanų kalba</t>
  </si>
  <si>
    <t>Prancūzų kalos vartojimo įgūdžių tobulinimas,         A2-B2 lygiui</t>
  </si>
  <si>
    <t>VILNIAUS MYKOLO BIRŽIŠKOS GIMNAZIJA</t>
  </si>
  <si>
    <t>2015–2017 m. m. individualus ugdymo planas (III–IV kl.)</t>
  </si>
  <si>
    <t xml:space="preserve">Fizika </t>
  </si>
  <si>
    <t>Komunikacinių kalbinių įgūdžių tobulinimas</t>
  </si>
  <si>
    <r>
      <t xml:space="preserve">Raštingumo tobulinimas ir teksto kūrimas 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</si>
  <si>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 xml:space="preserve">Istorijos raida istoriniuose šaltiniuose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</si>
  <si>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 xml:space="preserve">Molekulinės biologijos pagrindai              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</si>
  <si>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>Eksperimentiniai ir teoriniai uždaviniai (A</t>
    </r>
    <r>
      <rPr>
        <b/>
        <i/>
        <sz val="10"/>
        <rFont val="Tahoma"/>
        <family val="2"/>
      </rPr>
      <t xml:space="preserve"> kursui</t>
    </r>
    <r>
      <rPr>
        <b/>
        <sz val="10"/>
        <rFont val="Tahoma"/>
        <family val="2"/>
      </rPr>
      <t>)</t>
    </r>
  </si>
  <si>
    <r>
      <t xml:space="preserve">Išlyginamasis </t>
    </r>
    <r>
      <rPr>
        <b/>
        <i/>
        <sz val="10"/>
        <rFont val="Tahoma"/>
        <family val="2"/>
      </rPr>
      <t xml:space="preserve"> programavimo</t>
    </r>
    <r>
      <rPr>
        <b/>
        <sz val="10"/>
        <rFont val="Tahoma"/>
        <family val="2"/>
      </rPr>
      <t xml:space="preserve"> kursas  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</si>
  <si>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>Probleminiai uždaviniai                                 (A</t>
    </r>
    <r>
      <rPr>
        <b/>
        <i/>
        <sz val="10"/>
        <rFont val="Tahoma"/>
        <family val="2"/>
      </rPr>
      <t xml:space="preserve"> kursui</t>
    </r>
    <r>
      <rPr>
        <b/>
        <sz val="10"/>
        <rFont val="Tahoma"/>
        <family val="2"/>
      </rPr>
      <t>)</t>
    </r>
  </si>
  <si>
    <r>
      <t xml:space="preserve">Fizika gamtoje ir technologijose                                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</si>
  <si>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 xml:space="preserve">Programavimo uždaviniai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</si>
  <si>
    <r>
      <t xml:space="preserve">Praktinė geografija (A </t>
    </r>
    <r>
      <rPr>
        <b/>
        <i/>
        <sz val="10"/>
        <rFont val="Tahoma"/>
        <family val="2"/>
      </rPr>
      <t>kursui</t>
    </r>
    <r>
      <rPr>
        <b/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</si>
</sst>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name val="Wingdings 2"/>
      <family val="1"/>
    </font>
    <font>
      <b/>
      <sz val="10"/>
      <color indexed="10"/>
      <name val="Arial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36"/>
      <name val="Times New Roman"/>
      <family val="1"/>
    </font>
    <font>
      <b/>
      <sz val="11"/>
      <color indexed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rgb="FF7030A0"/>
      <name val="Times New Roman"/>
      <family val="1"/>
    </font>
    <font>
      <b/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textRotation="90" wrapText="1"/>
    </xf>
    <xf numFmtId="0" fontId="0" fillId="0" borderId="25" xfId="0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34" borderId="25" xfId="0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textRotation="90" wrapText="1"/>
    </xf>
    <xf numFmtId="0" fontId="2" fillId="0" borderId="29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textRotation="90" wrapText="1"/>
    </xf>
    <xf numFmtId="0" fontId="13" fillId="0" borderId="27" xfId="0" applyFont="1" applyFill="1" applyBorder="1" applyAlignment="1">
      <alignment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164" fontId="66" fillId="0" borderId="39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8" fillId="5" borderId="39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57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wrapText="1"/>
    </xf>
    <xf numFmtId="0" fontId="68" fillId="5" borderId="39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5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textRotation="90" wrapText="1"/>
    </xf>
    <xf numFmtId="0" fontId="13" fillId="0" borderId="2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textRotation="90" wrapText="1"/>
    </xf>
    <xf numFmtId="0" fontId="2" fillId="34" borderId="29" xfId="0" applyFont="1" applyFill="1" applyBorder="1" applyAlignment="1">
      <alignment horizontal="center" textRotation="90" wrapText="1"/>
    </xf>
    <xf numFmtId="0" fontId="13" fillId="0" borderId="25" xfId="0" applyFont="1" applyFill="1" applyBorder="1" applyAlignment="1">
      <alignment horizont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textRotation="90" wrapText="1"/>
    </xf>
    <xf numFmtId="0" fontId="13" fillId="0" borderId="62" xfId="0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textRotation="9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7"/>
  <sheetViews>
    <sheetView showGridLines="0" tabSelected="1" zoomScale="110" zoomScaleNormal="110" zoomScaleSheetLayoutView="100" zoomScalePageLayoutView="0" workbookViewId="0" topLeftCell="A7">
      <selection activeCell="L10" sqref="L10"/>
    </sheetView>
  </sheetViews>
  <sheetFormatPr defaultColWidth="9.8515625" defaultRowHeight="12.75" zeroHeight="1"/>
  <cols>
    <col min="1" max="1" width="2.8515625" style="4" customWidth="1"/>
    <col min="2" max="2" width="3.8515625" style="4" customWidth="1"/>
    <col min="3" max="3" width="19.421875" style="4" customWidth="1"/>
    <col min="4" max="4" width="11.421875" style="4" customWidth="1"/>
    <col min="5" max="5" width="25.00390625" style="4" customWidth="1"/>
    <col min="6" max="6" width="4.00390625" style="4" customWidth="1"/>
    <col min="7" max="7" width="5.7109375" style="4" customWidth="1"/>
    <col min="8" max="8" width="6.00390625" style="4" customWidth="1"/>
    <col min="9" max="10" width="6.7109375" style="4" customWidth="1"/>
    <col min="11" max="11" width="0.71875" style="32" customWidth="1"/>
    <col min="12" max="12" width="31.28125" style="36" customWidth="1"/>
    <col min="13" max="13" width="4.8515625" style="1" customWidth="1"/>
    <col min="14" max="14" width="19.28125" style="1" customWidth="1"/>
    <col min="15" max="15" width="4.00390625" style="1" customWidth="1"/>
    <col min="16" max="16" width="35.8515625" style="5" hidden="1" customWidth="1"/>
    <col min="17" max="18" width="9.421875" style="4" hidden="1" customWidth="1"/>
    <col min="19" max="20" width="11.28125" style="4" hidden="1" customWidth="1"/>
    <col min="21" max="25" width="9.8515625" style="4" hidden="1" customWidth="1"/>
    <col min="26" max="29" width="0" style="4" hidden="1" customWidth="1"/>
    <col min="30" max="16384" width="9.8515625" style="4" customWidth="1"/>
  </cols>
  <sheetData>
    <row r="1" spans="11:16" s="3" customFormat="1" ht="18.75">
      <c r="K1" s="143"/>
      <c r="L1" s="61"/>
      <c r="M1" s="62"/>
      <c r="N1" s="62"/>
      <c r="O1" s="1"/>
      <c r="P1" s="2"/>
    </row>
    <row r="2" spans="1:16" s="3" customFormat="1" ht="17.25" customHeight="1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143"/>
      <c r="L2" s="61"/>
      <c r="M2" s="62"/>
      <c r="N2" s="62"/>
      <c r="O2" s="1"/>
      <c r="P2" s="2"/>
    </row>
    <row r="3" spans="1:16" s="3" customFormat="1" ht="3.75" customHeight="1">
      <c r="A3" s="211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144"/>
      <c r="L3" s="38"/>
      <c r="M3" s="4"/>
      <c r="N3" s="62"/>
      <c r="O3" s="1"/>
      <c r="P3" s="2"/>
    </row>
    <row r="4" spans="1:16" s="3" customFormat="1" ht="30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144"/>
      <c r="L4" s="55" t="s">
        <v>0</v>
      </c>
      <c r="M4" s="70">
        <f>D62</f>
        <v>0</v>
      </c>
      <c r="N4" s="172" t="str">
        <f>IF((M4&gt;7),"","Dalykų turi būti ne mažiau kaip 8")</f>
        <v>Dalykų turi būti ne mažiau kaip 8</v>
      </c>
      <c r="O4" s="1"/>
      <c r="P4" s="2"/>
    </row>
    <row r="5" spans="12:14" ht="6.75" customHeight="1">
      <c r="L5" s="145"/>
      <c r="M5" s="4"/>
      <c r="N5" s="146"/>
    </row>
    <row r="6" spans="2:14" ht="36.75" customHeight="1">
      <c r="B6" s="147"/>
      <c r="C6" s="148" t="s">
        <v>89</v>
      </c>
      <c r="D6" s="182"/>
      <c r="E6" s="216" t="s">
        <v>90</v>
      </c>
      <c r="F6" s="217"/>
      <c r="G6" s="214"/>
      <c r="H6" s="214"/>
      <c r="I6" s="214"/>
      <c r="J6" s="214"/>
      <c r="K6" s="144"/>
      <c r="L6" s="55" t="s">
        <v>1</v>
      </c>
      <c r="M6" s="70">
        <f>D64</f>
        <v>0</v>
      </c>
      <c r="N6" s="172" t="str">
        <f>IF((M6&lt;=32)*(M6&gt;=28),"","Pamokų turi būti ne mažiau kaip 28 ir ne daugiau kaip 32")</f>
        <v>Pamokų turi būti ne mažiau kaip 28 ir ne daugiau kaip 32</v>
      </c>
    </row>
    <row r="7" spans="2:16" s="6" customFormat="1" ht="9" customHeight="1">
      <c r="B7" s="149"/>
      <c r="C7" s="150"/>
      <c r="D7" s="151"/>
      <c r="E7" s="151"/>
      <c r="F7" s="150"/>
      <c r="G7" s="150"/>
      <c r="H7" s="150"/>
      <c r="I7" s="152"/>
      <c r="K7" s="32"/>
      <c r="L7" s="145"/>
      <c r="M7" s="4"/>
      <c r="N7" s="146"/>
      <c r="O7" s="7"/>
      <c r="P7" s="8"/>
    </row>
    <row r="8" spans="2:14" ht="36.75" customHeight="1">
      <c r="B8" s="9"/>
      <c r="C8" s="148"/>
      <c r="D8" s="153"/>
      <c r="F8" s="148" t="s">
        <v>2</v>
      </c>
      <c r="G8" s="214"/>
      <c r="H8" s="215"/>
      <c r="I8" s="10"/>
      <c r="J8" s="10"/>
      <c r="K8" s="81"/>
      <c r="L8" s="55" t="s">
        <v>3</v>
      </c>
      <c r="M8" s="70">
        <f>D66</f>
        <v>0</v>
      </c>
      <c r="N8" s="172" t="str">
        <f>IF((M8&lt;=32)*(M8&gt;=28),"","Pamokų turi būti ne mažiau kaip 28 ir ne daugiau kaip 32")</f>
        <v>Pamokų turi būti ne mažiau kaip 28 ir ne daugiau kaip 32</v>
      </c>
    </row>
    <row r="9" spans="2:14" ht="7.5" customHeight="1">
      <c r="B9" s="9"/>
      <c r="F9" s="148"/>
      <c r="G9" s="153"/>
      <c r="H9" s="153"/>
      <c r="I9" s="10"/>
      <c r="J9" s="10"/>
      <c r="K9" s="81"/>
      <c r="L9" s="61"/>
      <c r="M9" s="62"/>
      <c r="N9" s="62"/>
    </row>
    <row r="10" spans="1:15" s="63" customFormat="1" ht="12.75">
      <c r="A10" s="154"/>
      <c r="B10" s="4" t="s">
        <v>150</v>
      </c>
      <c r="C10" s="154"/>
      <c r="D10" s="154"/>
      <c r="E10" s="154"/>
      <c r="F10" s="154"/>
      <c r="G10" s="154"/>
      <c r="H10" s="154"/>
      <c r="I10" s="154"/>
      <c r="J10" s="154"/>
      <c r="K10" s="155"/>
      <c r="L10" s="156"/>
      <c r="M10" s="157"/>
      <c r="N10" s="157"/>
      <c r="O10" s="65"/>
    </row>
    <row r="11" spans="12:14" ht="10.5" customHeight="1" thickBot="1">
      <c r="L11" s="61"/>
      <c r="M11" s="62"/>
      <c r="N11" s="62"/>
    </row>
    <row r="12" spans="2:25" ht="33" customHeight="1">
      <c r="B12" s="212" t="s">
        <v>4</v>
      </c>
      <c r="C12" s="213" t="s">
        <v>5</v>
      </c>
      <c r="D12" s="213" t="s">
        <v>6</v>
      </c>
      <c r="E12" s="213"/>
      <c r="F12" s="261" t="s">
        <v>7</v>
      </c>
      <c r="G12" s="213" t="s">
        <v>8</v>
      </c>
      <c r="H12" s="213"/>
      <c r="I12" s="213" t="s">
        <v>149</v>
      </c>
      <c r="J12" s="213" t="s">
        <v>148</v>
      </c>
      <c r="K12" s="33"/>
      <c r="L12" s="61"/>
      <c r="M12" s="61"/>
      <c r="N12" s="61"/>
      <c r="O12" s="36"/>
      <c r="P12" s="234" t="s">
        <v>6</v>
      </c>
      <c r="Q12" s="218" t="s">
        <v>9</v>
      </c>
      <c r="R12" s="218" t="s">
        <v>10</v>
      </c>
      <c r="S12" s="226" t="s">
        <v>11</v>
      </c>
      <c r="T12" s="226" t="s">
        <v>12</v>
      </c>
      <c r="U12" s="228" t="s">
        <v>13</v>
      </c>
      <c r="V12" s="230" t="s">
        <v>7</v>
      </c>
      <c r="W12" s="232" t="s">
        <v>14</v>
      </c>
      <c r="X12" s="232" t="s">
        <v>15</v>
      </c>
      <c r="Y12" s="224" t="s">
        <v>16</v>
      </c>
    </row>
    <row r="13" spans="2:25" ht="28.5" customHeight="1" thickBot="1">
      <c r="B13" s="212"/>
      <c r="C13" s="213"/>
      <c r="D13" s="213"/>
      <c r="E13" s="213"/>
      <c r="F13" s="261"/>
      <c r="G13" s="138" t="s">
        <v>17</v>
      </c>
      <c r="H13" s="138" t="s">
        <v>18</v>
      </c>
      <c r="I13" s="213"/>
      <c r="J13" s="213"/>
      <c r="K13" s="33"/>
      <c r="L13" s="61"/>
      <c r="M13" s="61"/>
      <c r="N13" s="61"/>
      <c r="O13" s="36"/>
      <c r="P13" s="235"/>
      <c r="Q13" s="219"/>
      <c r="R13" s="219"/>
      <c r="S13" s="227"/>
      <c r="T13" s="227"/>
      <c r="U13" s="229"/>
      <c r="V13" s="231"/>
      <c r="W13" s="233"/>
      <c r="X13" s="233"/>
      <c r="Y13" s="225"/>
    </row>
    <row r="14" spans="1:25" ht="15.75" customHeight="1">
      <c r="A14" s="236" t="s">
        <v>19</v>
      </c>
      <c r="B14" s="242">
        <v>1</v>
      </c>
      <c r="C14" s="243" t="s">
        <v>20</v>
      </c>
      <c r="D14" s="186" t="s">
        <v>104</v>
      </c>
      <c r="E14" s="186"/>
      <c r="F14" s="24">
        <f aca="true" t="shared" si="0" ref="F14:F20">V14</f>
      </c>
      <c r="G14" s="24">
        <f aca="true" t="shared" si="1" ref="G14:H16">X14</f>
      </c>
      <c r="H14" s="24">
        <f t="shared" si="1"/>
      </c>
      <c r="I14" s="13"/>
      <c r="J14" s="126" t="s">
        <v>21</v>
      </c>
      <c r="K14" s="76"/>
      <c r="L14" s="184" t="str">
        <f>IF(AND(NOT(Q14),NOT(Q15)),"Privaloma pasirinkti vieną dorinio ugdymo dalyką",IF(SUM(S14:S15)&gt;1,"Galima riktis tik vieną dorinio ugdymo dalyką",""))</f>
        <v>Privaloma pasirinkti vieną dorinio ugdymo dalyką</v>
      </c>
      <c r="M14" s="184"/>
      <c r="N14" s="184"/>
      <c r="O14" s="170"/>
      <c r="P14" s="165" t="str">
        <f aca="true" t="shared" si="2" ref="P14:P29">D14</f>
        <v>Tikyba</v>
      </c>
      <c r="Q14" s="19" t="b">
        <v>0</v>
      </c>
      <c r="R14" s="19"/>
      <c r="S14" s="11">
        <f>IF(Q14,1,0)</f>
        <v>0</v>
      </c>
      <c r="T14" s="11">
        <f>IF((S14+S15=1),1,0)</f>
        <v>0</v>
      </c>
      <c r="U14" s="11"/>
      <c r="V14" s="11">
        <f>IF(W14=2,"B","")</f>
      </c>
      <c r="W14" s="11">
        <f>IF((Q14)*(T14=1),2,0)</f>
        <v>0</v>
      </c>
      <c r="X14" s="11">
        <f>IF(W14=2,1,"")</f>
      </c>
      <c r="Y14" s="20">
        <f>IF(W14=2,1,"")</f>
      </c>
    </row>
    <row r="15" spans="1:25" ht="15.75" customHeight="1" thickBot="1">
      <c r="A15" s="236"/>
      <c r="B15" s="242"/>
      <c r="C15" s="243"/>
      <c r="D15" s="222" t="s">
        <v>138</v>
      </c>
      <c r="E15" s="223"/>
      <c r="F15" s="99">
        <f t="shared" si="0"/>
      </c>
      <c r="G15" s="99">
        <f t="shared" si="1"/>
      </c>
      <c r="H15" s="99">
        <f t="shared" si="1"/>
      </c>
      <c r="I15" s="68"/>
      <c r="J15" s="126" t="s">
        <v>21</v>
      </c>
      <c r="K15" s="76"/>
      <c r="L15" s="184"/>
      <c r="M15" s="184"/>
      <c r="N15" s="184"/>
      <c r="O15" s="170"/>
      <c r="P15" s="112" t="str">
        <f t="shared" si="2"/>
        <v>Etika</v>
      </c>
      <c r="Q15" s="28" t="b">
        <v>0</v>
      </c>
      <c r="R15" s="28"/>
      <c r="S15" s="29">
        <f>IF(Q15,1,0)</f>
        <v>0</v>
      </c>
      <c r="T15" s="29">
        <f>IF((S14+S15=1),1,0)</f>
        <v>0</v>
      </c>
      <c r="U15" s="29"/>
      <c r="V15" s="29">
        <f>IF(W15=2,"B","")</f>
      </c>
      <c r="W15" s="29">
        <f>IF((Q15)*(T15=1),2,0)</f>
        <v>0</v>
      </c>
      <c r="X15" s="29">
        <f>IF(W15=2,1,"")</f>
      </c>
      <c r="Y15" s="30">
        <f>IF(W15=2,1,"")</f>
      </c>
    </row>
    <row r="16" spans="1:25" s="67" customFormat="1" ht="15.75" customHeight="1" thickBot="1">
      <c r="A16" s="236"/>
      <c r="B16" s="244">
        <v>2</v>
      </c>
      <c r="C16" s="240" t="s">
        <v>127</v>
      </c>
      <c r="D16" s="254" t="s">
        <v>126</v>
      </c>
      <c r="E16" s="255"/>
      <c r="F16" s="123">
        <f t="shared" si="0"/>
      </c>
      <c r="G16" s="123">
        <f t="shared" si="1"/>
      </c>
      <c r="H16" s="123">
        <f t="shared" si="1"/>
      </c>
      <c r="I16" s="104"/>
      <c r="J16" s="136"/>
      <c r="K16" s="77"/>
      <c r="L16" s="201" t="str">
        <f>IF(AND(NOT(Q16),NOT(R16)),"Privaloma pasirinkti lietuvių k. A kursą",IF(OR(AND(Q16,R16),AND(Q16,)),"Galima rinktis tik A arba B kursą",""))</f>
        <v>Privaloma pasirinkti lietuvių k. A kursą</v>
      </c>
      <c r="M16" s="201"/>
      <c r="N16" s="201"/>
      <c r="O16" s="49"/>
      <c r="P16" s="166" t="str">
        <f t="shared" si="2"/>
        <v>Lietuvių kalba ir literatūra</v>
      </c>
      <c r="Q16" s="101" t="b">
        <v>0</v>
      </c>
      <c r="R16" s="14" t="b">
        <v>0</v>
      </c>
      <c r="S16" s="100">
        <f>IF(OR(Q16,R16),1,0)</f>
        <v>0</v>
      </c>
      <c r="T16" s="100"/>
      <c r="U16" s="43"/>
      <c r="V16" s="43">
        <f>IF(W16=0,"",IF(Q16,"B","A"))</f>
      </c>
      <c r="W16" s="12">
        <f>IF((Q16=TRUE)*(R16=FALSE),10,IF((Q16=FALSE)*(R16=TRUE),11,0))</f>
        <v>0</v>
      </c>
      <c r="X16" s="43">
        <f>IF(W16=0,"",IF(W16=10,5,5))</f>
      </c>
      <c r="Y16" s="105">
        <f>IF(W16=0,"",IF(W16=10,5,5))</f>
      </c>
    </row>
    <row r="17" spans="1:25" ht="15.75" customHeight="1" thickBot="1">
      <c r="A17" s="236"/>
      <c r="B17" s="245"/>
      <c r="C17" s="265"/>
      <c r="D17" s="254" t="s">
        <v>136</v>
      </c>
      <c r="E17" s="255"/>
      <c r="F17" s="132">
        <f t="shared" si="0"/>
      </c>
      <c r="G17" s="132">
        <f aca="true" t="shared" si="3" ref="G17:G27">X17</f>
      </c>
      <c r="H17" s="132">
        <f aca="true" t="shared" si="4" ref="H17:H27">Y17</f>
      </c>
      <c r="I17" s="250"/>
      <c r="J17" s="251"/>
      <c r="K17" s="76"/>
      <c r="L17" s="205" t="str">
        <f>IF((S17)=0,"Privaloma pasirinkti pirmąją užsienio kalbą",IF(S17=1,""))</f>
        <v>Privaloma pasirinkti pirmąją užsienio kalbą</v>
      </c>
      <c r="M17" s="205"/>
      <c r="N17" s="205"/>
      <c r="O17" s="171"/>
      <c r="P17" s="167" t="str">
        <f t="shared" si="2"/>
        <v>Užsienio kalba (anglų) (1-oji)</v>
      </c>
      <c r="Q17" s="19" t="b">
        <v>0</v>
      </c>
      <c r="R17" s="106"/>
      <c r="S17" s="100">
        <f>IF(Q17,1,0)</f>
        <v>0</v>
      </c>
      <c r="T17" s="43"/>
      <c r="U17" s="100"/>
      <c r="V17" s="106">
        <f>IF((W17=6),"B2","")</f>
      </c>
      <c r="W17" s="100">
        <f>IF((Q17),6,0)</f>
        <v>0</v>
      </c>
      <c r="X17" s="43">
        <f>IF(W17=0,"",IF(W17=6,3,3))</f>
      </c>
      <c r="Y17" s="128">
        <f>IF(AND(W17=0),"",IF(W17=6,3,""))</f>
      </c>
    </row>
    <row r="18" spans="1:25" ht="15.75" customHeight="1">
      <c r="A18" s="236"/>
      <c r="B18" s="242">
        <v>3</v>
      </c>
      <c r="C18" s="243" t="s">
        <v>48</v>
      </c>
      <c r="D18" s="262" t="s">
        <v>25</v>
      </c>
      <c r="E18" s="263"/>
      <c r="F18" s="24">
        <f t="shared" si="0"/>
      </c>
      <c r="G18" s="24">
        <f t="shared" si="3"/>
      </c>
      <c r="H18" s="24">
        <f t="shared" si="4"/>
      </c>
      <c r="I18" s="102"/>
      <c r="J18" s="17"/>
      <c r="K18" s="77"/>
      <c r="L18" s="205" t="str">
        <f>IF(SUM(U18:U19)=0,"Privaloma pasirinkti bent vieną iš socialinių mokslų A arba B kursą",IF(OR(U18=2,U19=2),"Galima rinktis tik A arba B kursą",""))</f>
        <v>Privaloma pasirinkti bent vieną iš socialinių mokslų A arba B kursą</v>
      </c>
      <c r="M18" s="205"/>
      <c r="N18" s="205"/>
      <c r="O18" s="170"/>
      <c r="P18" s="167" t="str">
        <f t="shared" si="2"/>
        <v>Istorija</v>
      </c>
      <c r="Q18" s="101" t="b">
        <v>0</v>
      </c>
      <c r="R18" s="19" t="b">
        <v>0</v>
      </c>
      <c r="S18" s="11">
        <f aca="true" t="shared" si="5" ref="S18:S25">IF((Q18+R18)*NOT(Q18*R18),1,0)</f>
        <v>0</v>
      </c>
      <c r="T18" s="11">
        <f>S18</f>
        <v>0</v>
      </c>
      <c r="U18" s="11">
        <f>IF((Q18=R18)*(Q18),2,IF((Q18=R18),0,1))</f>
        <v>0</v>
      </c>
      <c r="V18" s="11">
        <f>IF(W18=0,"",IF(Q18,"B","A"))</f>
      </c>
      <c r="W18" s="11">
        <f>IF((Q18=TRUE)*(R18=FALSE)*(T18=1),4,IF((Q18=FALSE)*(R18=TRUE)*(T18=1),6,0))</f>
        <v>0</v>
      </c>
      <c r="X18" s="11">
        <f>IF(W18=0,"",IF(W18=4,2,3))</f>
      </c>
      <c r="Y18" s="20">
        <f>IF(W18=0,"",IF(W18=4,2,3))</f>
      </c>
    </row>
    <row r="19" spans="1:25" ht="15.75" customHeight="1" thickBot="1">
      <c r="A19" s="236"/>
      <c r="B19" s="242"/>
      <c r="C19" s="243"/>
      <c r="D19" s="221" t="s">
        <v>26</v>
      </c>
      <c r="E19" s="221"/>
      <c r="F19" s="133">
        <f t="shared" si="0"/>
      </c>
      <c r="G19" s="133">
        <f t="shared" si="3"/>
      </c>
      <c r="H19" s="133">
        <f t="shared" si="4"/>
      </c>
      <c r="I19" s="16"/>
      <c r="J19" s="75"/>
      <c r="K19" s="77"/>
      <c r="L19" s="205"/>
      <c r="M19" s="205"/>
      <c r="N19" s="205"/>
      <c r="O19" s="170"/>
      <c r="P19" s="168" t="str">
        <f t="shared" si="2"/>
        <v>Geografija</v>
      </c>
      <c r="Q19" s="22" t="b">
        <v>0</v>
      </c>
      <c r="R19" s="103" t="b">
        <v>0</v>
      </c>
      <c r="S19" s="43">
        <f t="shared" si="5"/>
        <v>0</v>
      </c>
      <c r="T19" s="43">
        <f>IF(((S18=1)+(S19=1))*((U18=1)+(U18=0))*((U19=1)+(U19=0)),1,0)</f>
        <v>0</v>
      </c>
      <c r="U19" s="43">
        <f>IF((Q19=R19)*(Q19),2,IF((Q19=R19),0,1))</f>
        <v>0</v>
      </c>
      <c r="V19" s="43">
        <f aca="true" t="shared" si="6" ref="V19:V25">IF(W19=0,"",IF(Q19,"B","A"))</f>
      </c>
      <c r="W19" s="43">
        <f>IF((Q19=TRUE)*(R19=FALSE)*(T19=1),4,IF((Q19=FALSE)*(R19=TRUE)*(T19=1),6,0))</f>
        <v>0</v>
      </c>
      <c r="X19" s="43">
        <f>IF(W19=0,"",IF(W19=4,2,3))</f>
      </c>
      <c r="Y19" s="105">
        <f>IF(W19=0,"",IF(W19=4,2,3))</f>
      </c>
    </row>
    <row r="20" spans="1:25" ht="15.75" customHeight="1" thickBot="1">
      <c r="A20" s="236"/>
      <c r="B20" s="134">
        <v>4</v>
      </c>
      <c r="C20" s="74" t="s">
        <v>27</v>
      </c>
      <c r="D20" s="252" t="s">
        <v>27</v>
      </c>
      <c r="E20" s="253"/>
      <c r="F20" s="132">
        <f t="shared" si="0"/>
      </c>
      <c r="G20" s="132">
        <f t="shared" si="3"/>
      </c>
      <c r="H20" s="132">
        <f t="shared" si="4"/>
      </c>
      <c r="I20" s="134"/>
      <c r="J20" s="74"/>
      <c r="K20" s="77"/>
      <c r="L20" s="184" t="str">
        <f>IF(AND(NOT(Q20),NOT(R20)),"Privaloma pasirinkti matematikos A arba B kursą",IF(OR(AND(Q20,R20)),"Galima rinktis tik A arba B kursą",""))</f>
        <v>Privaloma pasirinkti matematikos A arba B kursą</v>
      </c>
      <c r="M20" s="184"/>
      <c r="N20" s="184"/>
      <c r="O20" s="36"/>
      <c r="P20" s="167" t="str">
        <f t="shared" si="2"/>
        <v>Matematika</v>
      </c>
      <c r="Q20" s="101" t="b">
        <v>0</v>
      </c>
      <c r="R20" s="106" t="b">
        <v>0</v>
      </c>
      <c r="S20" s="43">
        <f t="shared" si="5"/>
        <v>0</v>
      </c>
      <c r="T20" s="43">
        <f>IF(((S18=1)+(S20=1))*((U18=1)+(U18=0))*((U20=1)+(U20=0)),1,0)</f>
        <v>0</v>
      </c>
      <c r="U20" s="43"/>
      <c r="V20" s="43">
        <f>IF(W20=0,"",IF(Q20,"B","A"))</f>
      </c>
      <c r="W20" s="43">
        <f>IF((Q20=TRUE)*(R20=FALSE)*(T20=1),6,IF((Q20=FALSE)*(R20=TRUE)*(T20=1),10,0))</f>
        <v>0</v>
      </c>
      <c r="X20" s="43">
        <f>IF(W20=0,"",IF(W20=6,3,5))</f>
      </c>
      <c r="Y20" s="105">
        <f>IF(W20=0,"",IF(W20=6,3,5))</f>
      </c>
    </row>
    <row r="21" spans="1:25" ht="27" customHeight="1" thickBot="1">
      <c r="A21" s="236"/>
      <c r="B21" s="134">
        <v>5</v>
      </c>
      <c r="C21" s="74" t="s">
        <v>37</v>
      </c>
      <c r="D21" s="254" t="s">
        <v>37</v>
      </c>
      <c r="E21" s="255"/>
      <c r="F21" s="132">
        <f>V21</f>
      </c>
      <c r="G21" s="132">
        <f>X21</f>
      </c>
      <c r="H21" s="132">
        <f>Y21</f>
      </c>
      <c r="I21" s="134"/>
      <c r="J21" s="74"/>
      <c r="K21" s="77"/>
      <c r="L21" s="220" t="str">
        <f>IF(AND(NOT(Q21),NOT(R21)),"Galima pasirinkti informacinių technologijų A arba B kursą",IF(OR(AND(Q21,R21),AND(Q21,)),"Galima rinktis tik A arba B kursą",""))</f>
        <v>Galima pasirinkti informacinių technologijų A arba B kursą</v>
      </c>
      <c r="M21" s="220"/>
      <c r="N21" s="220"/>
      <c r="O21" s="36"/>
      <c r="P21" s="167" t="str">
        <f t="shared" si="2"/>
        <v>Informacinės technologijos</v>
      </c>
      <c r="Q21" s="101" t="b">
        <v>0</v>
      </c>
      <c r="R21" s="14" t="b">
        <v>0</v>
      </c>
      <c r="S21" s="100">
        <f>IF(OR(Q21,R21),1,0)</f>
        <v>0</v>
      </c>
      <c r="T21" s="100"/>
      <c r="U21" s="43"/>
      <c r="V21" s="43">
        <f>IF(W21=0,"",IF(Q21,"B","A"))</f>
      </c>
      <c r="W21" s="12">
        <f>IF((Q21=TRUE)*(R21=FALSE),2,IF((Q21=FALSE)*(R21=TRUE),4,0))</f>
        <v>0</v>
      </c>
      <c r="X21" s="43">
        <f>IF(W21=0,"",IF(W21=2,1,2))</f>
      </c>
      <c r="Y21" s="105">
        <f>IF(W21=0,"",IF(W21=4,2,1))</f>
      </c>
    </row>
    <row r="22" spans="1:25" ht="15.75" customHeight="1">
      <c r="A22" s="236"/>
      <c r="B22" s="242">
        <v>6</v>
      </c>
      <c r="C22" s="243" t="s">
        <v>50</v>
      </c>
      <c r="D22" s="186" t="s">
        <v>28</v>
      </c>
      <c r="E22" s="186"/>
      <c r="F22" s="24">
        <f aca="true" t="shared" si="7" ref="F22:F27">V22</f>
      </c>
      <c r="G22" s="24">
        <f t="shared" si="3"/>
      </c>
      <c r="H22" s="24">
        <f t="shared" si="4"/>
      </c>
      <c r="I22" s="13"/>
      <c r="J22" s="17"/>
      <c r="K22" s="77"/>
      <c r="L22" s="205" t="str">
        <f>IF(SUM(U22:U24)=0,"Privaloma pasirinkti bent vieną iš gamtos mokslų A arba B kursą",IF(OR(U22=2,U23=2,U24=2),"Galima rinktis tik A arba B kursą",""))</f>
        <v>Privaloma pasirinkti bent vieną iš gamtos mokslų A arba B kursą</v>
      </c>
      <c r="M22" s="205"/>
      <c r="N22" s="205"/>
      <c r="O22" s="170"/>
      <c r="P22" s="165" t="str">
        <f t="shared" si="2"/>
        <v>Biologija</v>
      </c>
      <c r="Q22" s="19" t="b">
        <v>0</v>
      </c>
      <c r="R22" s="19" t="b">
        <v>0</v>
      </c>
      <c r="S22" s="11">
        <f t="shared" si="5"/>
        <v>0</v>
      </c>
      <c r="T22" s="11">
        <f>IF(((S22=1)+(S23=1)+(S24=1))*((U22=1)+(U22=0))*((U23=1)+(U23=0))*((U23=1)+(U23=0)),1,0)</f>
        <v>0</v>
      </c>
      <c r="U22" s="11">
        <f>IF((Q22=R22)*(Q22),2,IF((Q22=R22),0,1))</f>
        <v>0</v>
      </c>
      <c r="V22" s="66">
        <f t="shared" si="6"/>
      </c>
      <c r="W22" s="66">
        <f>IF((Q22=TRUE)*(R22=FALSE),4,IF((Q22=FALSE)*(R22=TRUE),6,0))</f>
        <v>0</v>
      </c>
      <c r="X22" s="11">
        <f>IF(W22=0,"",IF(W22=4,2,3))</f>
      </c>
      <c r="Y22" s="20">
        <f>IF(W22=0,"",IF(W22=4,2,3))</f>
      </c>
    </row>
    <row r="23" spans="1:25" ht="15.75" customHeight="1">
      <c r="A23" s="236"/>
      <c r="B23" s="242"/>
      <c r="C23" s="243"/>
      <c r="D23" s="185" t="s">
        <v>29</v>
      </c>
      <c r="E23" s="185"/>
      <c r="F23" s="25">
        <f t="shared" si="7"/>
      </c>
      <c r="G23" s="25">
        <f t="shared" si="3"/>
      </c>
      <c r="H23" s="25">
        <f t="shared" si="4"/>
      </c>
      <c r="I23" s="26"/>
      <c r="J23" s="27"/>
      <c r="K23" s="77"/>
      <c r="L23" s="205"/>
      <c r="M23" s="205"/>
      <c r="N23" s="205"/>
      <c r="O23" s="170"/>
      <c r="P23" s="112" t="str">
        <f t="shared" si="2"/>
        <v>Fizika</v>
      </c>
      <c r="Q23" s="28" t="b">
        <v>0</v>
      </c>
      <c r="R23" s="28" t="b">
        <v>0</v>
      </c>
      <c r="S23" s="29">
        <f t="shared" si="5"/>
        <v>0</v>
      </c>
      <c r="T23" s="29">
        <f>IF(((S22=1)+(S23=1)+(S24=1))*((U22=1)+(U22=0))*((U23=1)+(U23=0))*((U23=1)+(U23=0)),1,0)</f>
        <v>0</v>
      </c>
      <c r="U23" s="29">
        <f>IF((Q23=R23)*(Q23),2,IF((Q23=R23),0,1))</f>
        <v>0</v>
      </c>
      <c r="V23" s="29">
        <f t="shared" si="6"/>
      </c>
      <c r="W23" s="29">
        <f>IF((Q23=TRUE)*(R23=FALSE),4,IF((Q23=FALSE)*(R23=TRUE),7,0))</f>
        <v>0</v>
      </c>
      <c r="X23" s="29">
        <f>IF(W23=0,"",IF(W23=4,2,4))</f>
      </c>
      <c r="Y23" s="30">
        <f>IF(W23=0,"",IF(W23=4,2,3))</f>
      </c>
    </row>
    <row r="24" spans="1:25" ht="15.75" customHeight="1" thickBot="1">
      <c r="A24" s="236"/>
      <c r="B24" s="242"/>
      <c r="C24" s="243"/>
      <c r="D24" s="256" t="s">
        <v>30</v>
      </c>
      <c r="E24" s="256"/>
      <c r="F24" s="133">
        <f t="shared" si="7"/>
      </c>
      <c r="G24" s="133">
        <f t="shared" si="3"/>
      </c>
      <c r="H24" s="133">
        <f t="shared" si="4"/>
      </c>
      <c r="I24" s="16"/>
      <c r="J24" s="75"/>
      <c r="K24" s="77"/>
      <c r="L24" s="205"/>
      <c r="M24" s="205"/>
      <c r="N24" s="205"/>
      <c r="O24" s="170"/>
      <c r="P24" s="168" t="str">
        <f t="shared" si="2"/>
        <v>Chemija</v>
      </c>
      <c r="Q24" s="22" t="b">
        <v>0</v>
      </c>
      <c r="R24" s="22" t="b">
        <v>0</v>
      </c>
      <c r="S24" s="12">
        <f t="shared" si="5"/>
        <v>0</v>
      </c>
      <c r="T24" s="12">
        <f>IF(((S22=1)+(S23=1)+(S24=1))*((U22=1)+(U22=0))*((U23=1)+(U23=0))*((U23=1)+(U23=0)),1,0)</f>
        <v>0</v>
      </c>
      <c r="U24" s="12">
        <f>IF((Q24=R24)*(Q24),2,IF((Q24=R24),0,1))</f>
        <v>0</v>
      </c>
      <c r="V24" s="43">
        <f t="shared" si="6"/>
      </c>
      <c r="W24" s="43">
        <f>IF((Q24=TRUE)*(R24=FALSE),4,IF((Q24=FALSE)*(R24=TRUE),6,0))</f>
        <v>0</v>
      </c>
      <c r="X24" s="12">
        <f>IF(W24=0,"",IF(W24=4,2,3))</f>
      </c>
      <c r="Y24" s="23">
        <f>IF(W24=0,"",IF(W24=4,2,3))</f>
      </c>
    </row>
    <row r="25" spans="1:25" ht="15.75" customHeight="1">
      <c r="A25" s="236"/>
      <c r="B25" s="202">
        <v>7</v>
      </c>
      <c r="C25" s="240" t="s">
        <v>142</v>
      </c>
      <c r="D25" s="186" t="s">
        <v>31</v>
      </c>
      <c r="E25" s="186" t="b">
        <v>0</v>
      </c>
      <c r="F25" s="24">
        <f t="shared" si="7"/>
      </c>
      <c r="G25" s="24">
        <f t="shared" si="3"/>
      </c>
      <c r="H25" s="24">
        <f t="shared" si="4"/>
      </c>
      <c r="I25" s="13"/>
      <c r="J25" s="126" t="s">
        <v>21</v>
      </c>
      <c r="K25" s="76"/>
      <c r="L25" s="184" t="str">
        <f>IF((U25=2),"Galima rinktis tik A arba B kursą",IF(SUM(S25:S28)=0,"Privaloma pasirinkti vieną menų dalyką B kursu",IF(SUM(S25:S28)&gt;1,"Galima pasirinkti tik vieną menų dalyką","")))</f>
        <v>Privaloma pasirinkti vieną menų dalyką B kursu</v>
      </c>
      <c r="M25" s="184"/>
      <c r="N25" s="184"/>
      <c r="O25" s="170"/>
      <c r="P25" s="113" t="str">
        <f t="shared" si="2"/>
        <v>Dailė</v>
      </c>
      <c r="Q25" s="14" t="b">
        <v>0</v>
      </c>
      <c r="R25" s="14" t="b">
        <v>0</v>
      </c>
      <c r="S25" s="15">
        <f t="shared" si="5"/>
        <v>0</v>
      </c>
      <c r="T25" s="15">
        <f>IF((SUM($S$25:$S$28)=1),1,0)</f>
        <v>0</v>
      </c>
      <c r="U25" s="11">
        <f>IF((Q25=R25)*(Q25),2,IF((Q25=R25),0,1))</f>
        <v>0</v>
      </c>
      <c r="V25" s="11">
        <f t="shared" si="6"/>
      </c>
      <c r="W25" s="29">
        <f>IF(((Q25&lt;&gt;R25)=TRUE)*(T25=1),IF((Q25=TRUE)*(R25=FALSE),4,IF((Q25=FALSE)*(R25=TRUE),6,0)),0)</f>
        <v>0</v>
      </c>
      <c r="X25" s="29">
        <f>IF(W25=0,"",IF(W25=4,2,3))</f>
      </c>
      <c r="Y25" s="20">
        <f>IF(W25=0,"",IF(W25=4,2,3))</f>
      </c>
    </row>
    <row r="26" spans="1:25" ht="15.75" customHeight="1">
      <c r="A26" s="236"/>
      <c r="B26" s="203"/>
      <c r="C26" s="241"/>
      <c r="D26" s="185" t="s">
        <v>32</v>
      </c>
      <c r="E26" s="185"/>
      <c r="F26" s="25">
        <f t="shared" si="7"/>
      </c>
      <c r="G26" s="25">
        <f t="shared" si="3"/>
      </c>
      <c r="H26" s="25">
        <f t="shared" si="4"/>
      </c>
      <c r="I26" s="26"/>
      <c r="J26" s="126" t="s">
        <v>21</v>
      </c>
      <c r="K26" s="76"/>
      <c r="L26" s="184"/>
      <c r="M26" s="184"/>
      <c r="N26" s="184"/>
      <c r="O26" s="170"/>
      <c r="P26" s="112" t="str">
        <f t="shared" si="2"/>
        <v>Teatras</v>
      </c>
      <c r="Q26" s="28" t="b">
        <v>0</v>
      </c>
      <c r="R26" s="28"/>
      <c r="S26" s="110">
        <f>IF(Q26,1,0)</f>
        <v>0</v>
      </c>
      <c r="T26" s="15">
        <f>IF((SUM($S$25:$S$28)=1),1,0)</f>
        <v>0</v>
      </c>
      <c r="U26" s="107"/>
      <c r="V26" s="15">
        <f>IF(W26=4,"B","")</f>
      </c>
      <c r="W26" s="15">
        <f>IF((Q26)*(T26=1),4,0)</f>
        <v>0</v>
      </c>
      <c r="X26" s="15">
        <f>IF(W26=4,2,"")</f>
      </c>
      <c r="Y26" s="18">
        <f>IF(W26=4,2,"")</f>
      </c>
    </row>
    <row r="27" spans="1:25" ht="15.75" customHeight="1">
      <c r="A27" s="236"/>
      <c r="B27" s="203"/>
      <c r="C27" s="241"/>
      <c r="D27" s="185" t="s">
        <v>106</v>
      </c>
      <c r="E27" s="185"/>
      <c r="F27" s="25">
        <f t="shared" si="7"/>
      </c>
      <c r="G27" s="25">
        <f t="shared" si="3"/>
      </c>
      <c r="H27" s="25">
        <f t="shared" si="4"/>
      </c>
      <c r="I27" s="26"/>
      <c r="J27" s="126" t="s">
        <v>21</v>
      </c>
      <c r="K27" s="76"/>
      <c r="L27" s="184"/>
      <c r="M27" s="184"/>
      <c r="N27" s="184"/>
      <c r="O27" s="170"/>
      <c r="P27" s="112" t="str">
        <f t="shared" si="2"/>
        <v>Šokis</v>
      </c>
      <c r="Q27" s="28" t="b">
        <v>0</v>
      </c>
      <c r="R27" s="28"/>
      <c r="S27" s="110">
        <f>IF(Q27,1,0)</f>
        <v>0</v>
      </c>
      <c r="T27" s="15">
        <f>IF((SUM($S$25:$S$28)=1),1,0)</f>
        <v>0</v>
      </c>
      <c r="U27" s="110"/>
      <c r="V27" s="15">
        <f>IF(W27=4,"B","")</f>
      </c>
      <c r="W27" s="15">
        <f>IF((Q27)*(T27=1),4,0)</f>
        <v>0</v>
      </c>
      <c r="X27" s="15">
        <f>IF(W27=4,2,"")</f>
      </c>
      <c r="Y27" s="18">
        <f>IF(W27=4,2,"")</f>
      </c>
    </row>
    <row r="28" spans="1:25" ht="19.5" customHeight="1" thickBot="1">
      <c r="A28" s="236"/>
      <c r="B28" s="203"/>
      <c r="C28" s="241"/>
      <c r="D28" s="246" t="s">
        <v>139</v>
      </c>
      <c r="E28" s="247"/>
      <c r="F28" s="99">
        <f>V28</f>
      </c>
      <c r="G28" s="99">
        <f>X28</f>
      </c>
      <c r="H28" s="99">
        <f>Y28</f>
      </c>
      <c r="I28" s="68"/>
      <c r="J28" s="126" t="s">
        <v>21</v>
      </c>
      <c r="K28" s="76"/>
      <c r="L28" s="184"/>
      <c r="M28" s="184"/>
      <c r="N28" s="184"/>
      <c r="O28" s="170"/>
      <c r="P28" s="112" t="str">
        <f t="shared" si="2"/>
        <v>Muzika</v>
      </c>
      <c r="Q28" s="28" t="b">
        <v>0</v>
      </c>
      <c r="R28" s="28"/>
      <c r="S28" s="29">
        <f>IF(Q28,1,0)</f>
        <v>0</v>
      </c>
      <c r="T28" s="15">
        <f>IF((SUM($S$25:$S$28)=1),1,0)</f>
        <v>0</v>
      </c>
      <c r="U28" s="110"/>
      <c r="V28" s="15">
        <f>IF(W28=4,"B","")</f>
      </c>
      <c r="W28" s="15">
        <f>IF((Q28)*(T28=1),4,0)</f>
        <v>0</v>
      </c>
      <c r="X28" s="15">
        <f>IF(W28=4,2,"")</f>
      </c>
      <c r="Y28" s="18">
        <f>IF(W28=4,2,"")</f>
      </c>
    </row>
    <row r="29" spans="1:25" ht="15.75" customHeight="1">
      <c r="A29" s="236"/>
      <c r="B29" s="137">
        <v>8</v>
      </c>
      <c r="C29" s="135" t="s">
        <v>33</v>
      </c>
      <c r="D29" s="206" t="s">
        <v>34</v>
      </c>
      <c r="E29" s="206"/>
      <c r="F29" s="108">
        <f>V29</f>
      </c>
      <c r="G29" s="108">
        <f>X29</f>
      </c>
      <c r="H29" s="108">
        <f>Y29</f>
      </c>
      <c r="I29" s="109"/>
      <c r="J29" s="126" t="s">
        <v>21</v>
      </c>
      <c r="K29" s="76"/>
      <c r="L29" s="201" t="str">
        <f>IF((U29=2),"Galima rinktis tik A arba B kursą",IF(SUM(S29:S29)=0,"Privaloma pasirinkti kūno kultūros dalyką",IF(SUM(S29:S29)&gt;1,"Galima pasirinkti tik vieną kūno kultūros dalyką","")))</f>
        <v>Privaloma pasirinkti kūno kultūros dalyką</v>
      </c>
      <c r="M29" s="201"/>
      <c r="N29" s="201"/>
      <c r="O29" s="170"/>
      <c r="P29" s="165" t="str">
        <f t="shared" si="2"/>
        <v>Bendroji kūno kultūra</v>
      </c>
      <c r="Q29" s="19" t="b">
        <v>0</v>
      </c>
      <c r="R29" s="19" t="b">
        <v>0</v>
      </c>
      <c r="S29" s="11">
        <f>IF((Q29+R29)*NOT(Q29*R29),1,0)</f>
        <v>0</v>
      </c>
      <c r="T29" s="11">
        <f>IF((SUM($S$29:$S$29)=1),1,0)</f>
        <v>0</v>
      </c>
      <c r="U29" s="11">
        <f>IF((Q29=R29)*(Q29),2,IF((Q29=R29),0,1))</f>
        <v>0</v>
      </c>
      <c r="V29" s="11">
        <f>IF(W29=0,"",IF(Q29,"B","A"))</f>
      </c>
      <c r="W29" s="11">
        <f>IF(((Q29&lt;&gt;R29)=TRUE)*(T29=1),IF((Q29=TRUE)*(R29=FALSE),4,IF((Q29=FALSE)*(R29=TRUE),6,0)),0)</f>
        <v>0</v>
      </c>
      <c r="X29" s="11">
        <f>IF(W29=0,"",IF(W29=4,2,4))</f>
      </c>
      <c r="Y29" s="20">
        <f>IF(W29=0,"",IF(W29=4,2,4))</f>
      </c>
    </row>
    <row r="30" spans="1:25" s="38" customFormat="1" ht="14.25" customHeight="1">
      <c r="A30" s="32"/>
      <c r="B30" s="76"/>
      <c r="C30" s="33"/>
      <c r="D30" s="34"/>
      <c r="E30" s="34"/>
      <c r="F30" s="33"/>
      <c r="G30" s="33"/>
      <c r="H30" s="33"/>
      <c r="I30" s="35"/>
      <c r="J30" s="76"/>
      <c r="K30" s="76"/>
      <c r="L30" s="61"/>
      <c r="M30" s="61"/>
      <c r="N30" s="61"/>
      <c r="O30" s="36"/>
      <c r="P30" s="37"/>
      <c r="S30" s="39"/>
      <c r="T30" s="39"/>
      <c r="U30" s="39"/>
      <c r="V30" s="39"/>
      <c r="W30" s="39"/>
      <c r="X30" s="39"/>
      <c r="Y30" s="39"/>
    </row>
    <row r="31" spans="2:25" ht="18" customHeight="1" thickBot="1">
      <c r="B31" s="243" t="s">
        <v>151</v>
      </c>
      <c r="C31" s="243"/>
      <c r="D31" s="243"/>
      <c r="E31" s="243"/>
      <c r="F31" s="243"/>
      <c r="G31" s="243"/>
      <c r="H31" s="243"/>
      <c r="I31" s="243"/>
      <c r="J31" s="243"/>
      <c r="K31" s="77"/>
      <c r="L31" s="61"/>
      <c r="M31" s="61"/>
      <c r="N31" s="61"/>
      <c r="O31" s="36"/>
      <c r="P31" s="114"/>
      <c r="Q31" s="115"/>
      <c r="R31" s="115"/>
      <c r="S31" s="116"/>
      <c r="T31" s="116"/>
      <c r="U31" s="116"/>
      <c r="V31" s="116"/>
      <c r="W31" s="115"/>
      <c r="X31" s="115"/>
      <c r="Y31" s="115"/>
    </row>
    <row r="32" spans="2:25" ht="15.75" customHeight="1">
      <c r="B32" s="202">
        <v>9</v>
      </c>
      <c r="C32" s="258" t="s">
        <v>127</v>
      </c>
      <c r="D32" s="199" t="s">
        <v>130</v>
      </c>
      <c r="E32" s="200"/>
      <c r="F32" s="24">
        <f>V32</f>
      </c>
      <c r="G32" s="24">
        <f aca="true" t="shared" si="8" ref="G32:H34">X32</f>
      </c>
      <c r="H32" s="24">
        <f t="shared" si="8"/>
      </c>
      <c r="I32" s="250"/>
      <c r="J32" s="251"/>
      <c r="K32" s="76"/>
      <c r="L32" s="205">
        <f>IF(SUM(S32:S34)&gt;1,"Galima pasirinkti tik vieną antrąją užsienio kalbą. Norėdami mokytis tris užsienio kalbas, pasirinkite užsienio kalbą pradedantiesiems. Žr. Nr. 14,15,16,17","")</f>
      </c>
      <c r="M32" s="205"/>
      <c r="N32" s="205"/>
      <c r="O32" s="171"/>
      <c r="P32" s="113" t="str">
        <f>D32</f>
        <v>Užsiemio kalba (prancūzų) (2-oji)</v>
      </c>
      <c r="Q32" s="14" t="b">
        <v>0</v>
      </c>
      <c r="R32" s="14"/>
      <c r="S32" s="111">
        <f>IF(Q32,1,0)</f>
        <v>0</v>
      </c>
      <c r="T32" s="15">
        <f>IF((S30+S32+S31=1),1,0)</f>
        <v>0</v>
      </c>
      <c r="U32" s="15"/>
      <c r="V32" s="15">
        <f>IF(W32=6,"B1","")</f>
      </c>
      <c r="W32" s="15">
        <f>IF((Q32)*(T32=1),6,0)</f>
        <v>0</v>
      </c>
      <c r="X32" s="15">
        <f>IF(W32=6,3,"")</f>
      </c>
      <c r="Y32" s="20">
        <f>IF(W32=6,3,"")</f>
      </c>
    </row>
    <row r="33" spans="2:25" ht="15.75" customHeight="1">
      <c r="B33" s="203"/>
      <c r="C33" s="259"/>
      <c r="D33" s="192" t="s">
        <v>129</v>
      </c>
      <c r="E33" s="193"/>
      <c r="F33" s="99">
        <f>V33</f>
      </c>
      <c r="G33" s="99">
        <f t="shared" si="8"/>
      </c>
      <c r="H33" s="99">
        <f t="shared" si="8"/>
      </c>
      <c r="I33" s="248"/>
      <c r="J33" s="249"/>
      <c r="K33" s="76"/>
      <c r="L33" s="205"/>
      <c r="M33" s="205"/>
      <c r="N33" s="205"/>
      <c r="O33" s="171"/>
      <c r="P33" s="112" t="str">
        <f>D33</f>
        <v>Užsiemio kalba (rusų) (2-oji)</v>
      </c>
      <c r="Q33" s="28" t="b">
        <v>0</v>
      </c>
      <c r="R33" s="28"/>
      <c r="S33" s="31">
        <f>IF(Q33,1,0)</f>
        <v>0</v>
      </c>
      <c r="T33" s="29">
        <f>IF((S31+S33+S32=1),1,0)</f>
        <v>0</v>
      </c>
      <c r="U33" s="29"/>
      <c r="V33" s="29">
        <f>IF(W33=6,"B1","")</f>
      </c>
      <c r="W33" s="29">
        <f>IF((Q33)*(T33=1),6,0)</f>
        <v>0</v>
      </c>
      <c r="X33" s="29">
        <f>IF(W33=6,3,"")</f>
      </c>
      <c r="Y33" s="30">
        <f>IF(W33=6,3,"")</f>
      </c>
    </row>
    <row r="34" spans="2:25" ht="15.75" customHeight="1" thickBot="1">
      <c r="B34" s="204"/>
      <c r="C34" s="260"/>
      <c r="D34" s="197" t="s">
        <v>128</v>
      </c>
      <c r="E34" s="198"/>
      <c r="F34" s="124">
        <f>V34</f>
      </c>
      <c r="G34" s="124">
        <f t="shared" si="8"/>
      </c>
      <c r="H34" s="124">
        <f t="shared" si="8"/>
      </c>
      <c r="I34" s="190"/>
      <c r="J34" s="191"/>
      <c r="K34" s="76"/>
      <c r="L34" s="205"/>
      <c r="M34" s="205"/>
      <c r="N34" s="205"/>
      <c r="O34" s="171"/>
      <c r="P34" s="168" t="str">
        <f>D34</f>
        <v>Užsiemio kalba (vokiečių) (2-oji)</v>
      </c>
      <c r="Q34" s="22" t="b">
        <v>0</v>
      </c>
      <c r="R34" s="22"/>
      <c r="S34" s="42">
        <f>IF(Q34,1,0)</f>
        <v>0</v>
      </c>
      <c r="T34" s="12">
        <f>IF((S32+S34+S33=1),1,0)</f>
        <v>0</v>
      </c>
      <c r="U34" s="12"/>
      <c r="V34" s="12">
        <f>IF(W34=6,"B1","")</f>
      </c>
      <c r="W34" s="12">
        <f>IF((Q34)*(T34=1),6,0)</f>
        <v>0</v>
      </c>
      <c r="X34" s="12">
        <f>IF(W34=6,3,"")</f>
      </c>
      <c r="Y34" s="23">
        <f>IF(W34=6,3,"")</f>
      </c>
    </row>
    <row r="35" spans="2:25" ht="10.5" customHeight="1">
      <c r="B35" s="44"/>
      <c r="C35" s="45"/>
      <c r="D35" s="46"/>
      <c r="E35" s="46"/>
      <c r="F35" s="45"/>
      <c r="G35" s="45"/>
      <c r="H35" s="45"/>
      <c r="I35" s="47"/>
      <c r="J35" s="48"/>
      <c r="K35" s="77"/>
      <c r="L35" s="61"/>
      <c r="M35" s="61"/>
      <c r="N35" s="61"/>
      <c r="O35" s="36"/>
      <c r="P35" s="37"/>
      <c r="Q35" s="38"/>
      <c r="R35" s="38"/>
      <c r="S35" s="39"/>
      <c r="T35" s="39"/>
      <c r="U35" s="39"/>
      <c r="V35" s="39"/>
      <c r="W35" s="41"/>
      <c r="X35" s="41"/>
      <c r="Y35" s="41"/>
    </row>
    <row r="36" spans="1:25" ht="18.75" customHeight="1" thickBot="1">
      <c r="A36" s="32"/>
      <c r="B36" s="243" t="s">
        <v>151</v>
      </c>
      <c r="C36" s="243"/>
      <c r="D36" s="243"/>
      <c r="E36" s="243"/>
      <c r="F36" s="243"/>
      <c r="G36" s="243"/>
      <c r="H36" s="243"/>
      <c r="I36" s="243"/>
      <c r="J36" s="33"/>
      <c r="K36" s="33"/>
      <c r="L36" s="158"/>
      <c r="M36" s="158"/>
      <c r="N36" s="158"/>
      <c r="O36" s="49"/>
      <c r="P36" s="127"/>
      <c r="Q36" s="117"/>
      <c r="R36" s="117"/>
      <c r="S36" s="118"/>
      <c r="T36" s="118"/>
      <c r="U36" s="118"/>
      <c r="V36" s="118"/>
      <c r="W36" s="118"/>
      <c r="X36" s="118"/>
      <c r="Y36" s="118"/>
    </row>
    <row r="37" spans="1:25" ht="15.75" customHeight="1">
      <c r="A37" s="32"/>
      <c r="B37" s="137">
        <v>10</v>
      </c>
      <c r="C37" s="194" t="s">
        <v>147</v>
      </c>
      <c r="D37" s="195"/>
      <c r="E37" s="196"/>
      <c r="F37" s="108">
        <f aca="true" t="shared" si="9" ref="F37:F44">V37</f>
      </c>
      <c r="G37" s="108">
        <f aca="true" t="shared" si="10" ref="G37:H44">X37</f>
      </c>
      <c r="H37" s="108">
        <f t="shared" si="10"/>
      </c>
      <c r="I37" s="125"/>
      <c r="J37" s="129"/>
      <c r="K37" s="76"/>
      <c r="L37" s="158"/>
      <c r="M37" s="158"/>
      <c r="N37" s="158"/>
      <c r="O37" s="170"/>
      <c r="P37" s="112" t="str">
        <f aca="true" t="shared" si="11" ref="P37:P44">C37</f>
        <v>Ekonomika ir verslumas</v>
      </c>
      <c r="Q37" s="19" t="b">
        <v>0</v>
      </c>
      <c r="R37" s="19"/>
      <c r="S37" s="131">
        <f aca="true" t="shared" si="12" ref="S37:S44">IF(Q37,1,0)</f>
        <v>0</v>
      </c>
      <c r="T37" s="11"/>
      <c r="U37" s="11"/>
      <c r="V37" s="11">
        <f>IF(W37=2,"P","")</f>
      </c>
      <c r="W37" s="11">
        <f>IF(Q37,2,0)</f>
        <v>0</v>
      </c>
      <c r="X37" s="11">
        <f>IF(W37=2,1,"")</f>
      </c>
      <c r="Y37" s="20">
        <f>IF(W37=2,1,"")</f>
      </c>
    </row>
    <row r="38" spans="2:25" ht="15.75" customHeight="1" hidden="1">
      <c r="B38" s="137">
        <v>11</v>
      </c>
      <c r="C38" s="194" t="s">
        <v>131</v>
      </c>
      <c r="D38" s="195"/>
      <c r="E38" s="196"/>
      <c r="F38" s="108">
        <f t="shared" si="9"/>
      </c>
      <c r="G38" s="108">
        <f t="shared" si="10"/>
      </c>
      <c r="H38" s="108">
        <f t="shared" si="10"/>
      </c>
      <c r="I38" s="51"/>
      <c r="J38" s="130"/>
      <c r="L38" s="61"/>
      <c r="M38" s="61"/>
      <c r="N38" s="61"/>
      <c r="O38" s="36"/>
      <c r="P38" s="112" t="str">
        <f t="shared" si="11"/>
        <v>Karjeros planavimas</v>
      </c>
      <c r="Q38" s="14" t="b">
        <v>0</v>
      </c>
      <c r="R38" s="14"/>
      <c r="S38" s="111">
        <f t="shared" si="12"/>
        <v>0</v>
      </c>
      <c r="T38" s="15"/>
      <c r="U38" s="15"/>
      <c r="V38" s="15">
        <f>IF(W38=2,"P","")</f>
      </c>
      <c r="W38" s="15">
        <f>IF(Q38,2,0)</f>
        <v>0</v>
      </c>
      <c r="X38" s="15">
        <f>IF(W38=2,1,"")</f>
      </c>
      <c r="Y38" s="18">
        <f>IF(W38=2,1,"")</f>
      </c>
    </row>
    <row r="39" spans="2:25" ht="15.75" customHeight="1">
      <c r="B39" s="137">
        <v>11</v>
      </c>
      <c r="C39" s="194" t="s">
        <v>39</v>
      </c>
      <c r="D39" s="195"/>
      <c r="E39" s="196"/>
      <c r="F39" s="108">
        <f t="shared" si="9"/>
      </c>
      <c r="G39" s="108">
        <f t="shared" si="10"/>
      </c>
      <c r="H39" s="108">
        <f t="shared" si="10"/>
      </c>
      <c r="I39" s="51"/>
      <c r="L39" s="61"/>
      <c r="M39" s="61"/>
      <c r="N39" s="61"/>
      <c r="O39" s="36"/>
      <c r="P39" s="112" t="str">
        <f t="shared" si="11"/>
        <v>Psichologija</v>
      </c>
      <c r="Q39" s="14" t="b">
        <v>0</v>
      </c>
      <c r="R39" s="14"/>
      <c r="S39" s="111">
        <f t="shared" si="12"/>
        <v>0</v>
      </c>
      <c r="T39" s="15"/>
      <c r="U39" s="15"/>
      <c r="V39" s="15">
        <f>IF(W39=2,"P","")</f>
      </c>
      <c r="W39" s="15">
        <f>IF(Q39,2,0)</f>
        <v>0</v>
      </c>
      <c r="X39" s="15">
        <f>IF(W39=2,1,"")</f>
      </c>
      <c r="Y39" s="18">
        <f>IF(W39=2,1,"")</f>
      </c>
    </row>
    <row r="40" spans="2:25" ht="15.75" customHeight="1" hidden="1">
      <c r="B40" s="137">
        <v>12</v>
      </c>
      <c r="C40" s="194" t="s">
        <v>143</v>
      </c>
      <c r="D40" s="195"/>
      <c r="E40" s="196"/>
      <c r="F40" s="108">
        <f t="shared" si="9"/>
      </c>
      <c r="G40" s="108">
        <f t="shared" si="10"/>
      </c>
      <c r="H40" s="108">
        <f t="shared" si="10"/>
      </c>
      <c r="I40" s="51"/>
      <c r="L40" s="61"/>
      <c r="M40" s="61"/>
      <c r="N40" s="61"/>
      <c r="O40" s="36"/>
      <c r="P40" s="112" t="str">
        <f t="shared" si="11"/>
        <v>Matematinė logika (ypač gabiems)</v>
      </c>
      <c r="Q40" s="28" t="b">
        <v>0</v>
      </c>
      <c r="R40" s="28"/>
      <c r="S40" s="31">
        <f t="shared" si="12"/>
        <v>0</v>
      </c>
      <c r="T40" s="29"/>
      <c r="U40" s="29"/>
      <c r="V40" s="15">
        <f>IF(W40=2,"P","")</f>
      </c>
      <c r="W40" s="29">
        <f>IF(Q40,2,0)</f>
        <v>0</v>
      </c>
      <c r="X40" s="29">
        <f>IF(W40=2,1,"")</f>
      </c>
      <c r="Y40" s="30">
        <f>IF(W40=2,1,"")</f>
      </c>
    </row>
    <row r="41" spans="2:25" ht="15.75" customHeight="1">
      <c r="B41" s="137">
        <v>12</v>
      </c>
      <c r="C41" s="194" t="s">
        <v>102</v>
      </c>
      <c r="D41" s="195"/>
      <c r="E41" s="196"/>
      <c r="F41" s="108">
        <f t="shared" si="9"/>
      </c>
      <c r="G41" s="108">
        <f t="shared" si="10"/>
      </c>
      <c r="H41" s="108">
        <f t="shared" si="10"/>
      </c>
      <c r="I41" s="109"/>
      <c r="J41" s="48"/>
      <c r="K41" s="77"/>
      <c r="L41" s="159"/>
      <c r="M41" s="159"/>
      <c r="N41" s="159"/>
      <c r="O41" s="171"/>
      <c r="P41" s="112" t="str">
        <f t="shared" si="11"/>
        <v>Prancūzų kalba pradedantiesiems</v>
      </c>
      <c r="Q41" s="14" t="b">
        <v>0</v>
      </c>
      <c r="R41" s="14"/>
      <c r="S41" s="111">
        <f t="shared" si="12"/>
        <v>0</v>
      </c>
      <c r="T41" s="15"/>
      <c r="U41" s="111"/>
      <c r="V41" s="15">
        <f>IF(W41=6,"A1","")</f>
      </c>
      <c r="W41" s="15">
        <f>IF(Q41,6,0)</f>
        <v>0</v>
      </c>
      <c r="X41" s="15">
        <f>IF(W41=6,3,"")</f>
      </c>
      <c r="Y41" s="18">
        <f>IF(W41=6,3,"")</f>
      </c>
    </row>
    <row r="42" spans="2:25" ht="15.75" customHeight="1" thickBot="1">
      <c r="B42" s="137">
        <v>13</v>
      </c>
      <c r="C42" s="237" t="s">
        <v>137</v>
      </c>
      <c r="D42" s="238"/>
      <c r="E42" s="239"/>
      <c r="F42" s="108">
        <f t="shared" si="9"/>
      </c>
      <c r="G42" s="108">
        <f t="shared" si="10"/>
      </c>
      <c r="H42" s="108">
        <f t="shared" si="10"/>
      </c>
      <c r="I42" s="109"/>
      <c r="J42" s="48"/>
      <c r="K42" s="77"/>
      <c r="L42" s="159"/>
      <c r="M42" s="159"/>
      <c r="N42" s="159"/>
      <c r="O42" s="171"/>
      <c r="P42" s="112" t="str">
        <f t="shared" si="11"/>
        <v>Vokiečių kalba pradedantiesiems</v>
      </c>
      <c r="Q42" s="22" t="b">
        <v>0</v>
      </c>
      <c r="R42" s="14"/>
      <c r="S42" s="111">
        <f t="shared" si="12"/>
        <v>0</v>
      </c>
      <c r="T42" s="15"/>
      <c r="U42" s="111"/>
      <c r="V42" s="15">
        <f>IF(W42=6,"A1","")</f>
      </c>
      <c r="W42" s="15">
        <f>IF(Q42,6,0)</f>
        <v>0</v>
      </c>
      <c r="X42" s="15">
        <f>IF(W42=6,3,"")</f>
      </c>
      <c r="Y42" s="18">
        <f>IF(W42=6,3,"")</f>
      </c>
    </row>
    <row r="43" spans="2:25" ht="15.75" customHeight="1" thickBot="1">
      <c r="B43" s="137">
        <v>14</v>
      </c>
      <c r="C43" s="237" t="s">
        <v>140</v>
      </c>
      <c r="D43" s="238"/>
      <c r="E43" s="239"/>
      <c r="F43" s="108">
        <f t="shared" si="9"/>
      </c>
      <c r="G43" s="108">
        <f t="shared" si="10"/>
      </c>
      <c r="H43" s="108">
        <f t="shared" si="10"/>
      </c>
      <c r="I43" s="109"/>
      <c r="J43" s="48"/>
      <c r="K43" s="77"/>
      <c r="L43" s="159"/>
      <c r="M43" s="159"/>
      <c r="N43" s="159"/>
      <c r="O43" s="171"/>
      <c r="P43" s="112" t="str">
        <f t="shared" si="11"/>
        <v>Rusų kalba pradedantiesiems</v>
      </c>
      <c r="Q43" s="22" t="b">
        <v>0</v>
      </c>
      <c r="R43" s="14"/>
      <c r="S43" s="111">
        <f t="shared" si="12"/>
        <v>0</v>
      </c>
      <c r="T43" s="15"/>
      <c r="U43" s="111"/>
      <c r="V43" s="15">
        <f>IF(W43=6,"A1","")</f>
      </c>
      <c r="W43" s="15">
        <f>IF(Q43,6,0)</f>
        <v>0</v>
      </c>
      <c r="X43" s="15">
        <f>IF(W43=6,3,"")</f>
      </c>
      <c r="Y43" s="18">
        <f>IF(W43=6,3,"")</f>
      </c>
    </row>
    <row r="44" spans="2:25" ht="15.75" customHeight="1" hidden="1" thickBot="1">
      <c r="B44" s="137">
        <v>17</v>
      </c>
      <c r="C44" s="209" t="s">
        <v>141</v>
      </c>
      <c r="D44" s="257"/>
      <c r="E44" s="210"/>
      <c r="F44" s="108">
        <f t="shared" si="9"/>
      </c>
      <c r="G44" s="108">
        <f t="shared" si="10"/>
      </c>
      <c r="H44" s="108">
        <f t="shared" si="10"/>
      </c>
      <c r="I44" s="109"/>
      <c r="J44" s="48"/>
      <c r="K44" s="77"/>
      <c r="L44" s="159"/>
      <c r="M44" s="159"/>
      <c r="N44" s="159"/>
      <c r="O44" s="171"/>
      <c r="P44" s="112" t="str">
        <f t="shared" si="11"/>
        <v>Ispanų kalba pradedantiesiems</v>
      </c>
      <c r="Q44" s="22" t="b">
        <v>0</v>
      </c>
      <c r="R44" s="14"/>
      <c r="S44" s="111">
        <f t="shared" si="12"/>
        <v>0</v>
      </c>
      <c r="T44" s="15"/>
      <c r="U44" s="111"/>
      <c r="V44" s="15">
        <f>IF(W44=6,"A1","")</f>
      </c>
      <c r="W44" s="15">
        <f>IF(Q44,6,0)</f>
        <v>0</v>
      </c>
      <c r="X44" s="15">
        <f>IF(W44=6,3,"")</f>
      </c>
      <c r="Y44" s="18">
        <f>IF(W44=6,3,"")</f>
      </c>
    </row>
    <row r="45" spans="2:16" ht="10.5" customHeight="1">
      <c r="B45" s="82"/>
      <c r="C45" s="82"/>
      <c r="D45" s="82"/>
      <c r="E45" s="82"/>
      <c r="F45" s="40"/>
      <c r="G45" s="40"/>
      <c r="H45" s="40"/>
      <c r="I45" s="40"/>
      <c r="J45" s="52"/>
      <c r="K45" s="76"/>
      <c r="L45" s="61"/>
      <c r="M45" s="61"/>
      <c r="N45" s="61"/>
      <c r="O45" s="36"/>
      <c r="P45" s="40"/>
    </row>
    <row r="46" spans="1:25" ht="18.75" customHeight="1" thickBot="1">
      <c r="A46" s="32"/>
      <c r="B46" s="243" t="s">
        <v>152</v>
      </c>
      <c r="C46" s="243"/>
      <c r="D46" s="243"/>
      <c r="E46" s="243"/>
      <c r="F46" s="243"/>
      <c r="G46" s="243"/>
      <c r="H46" s="243"/>
      <c r="I46" s="243"/>
      <c r="J46" s="33"/>
      <c r="K46" s="33"/>
      <c r="L46" s="158"/>
      <c r="M46" s="158"/>
      <c r="N46" s="158"/>
      <c r="O46" s="49"/>
      <c r="P46" s="50"/>
      <c r="Q46" s="32"/>
      <c r="R46" s="117"/>
      <c r="S46" s="118"/>
      <c r="T46" s="118"/>
      <c r="U46" s="118"/>
      <c r="V46" s="118"/>
      <c r="W46" s="118"/>
      <c r="X46" s="118"/>
      <c r="Y46" s="118"/>
    </row>
    <row r="47" spans="1:26" ht="27" customHeight="1" thickBot="1">
      <c r="A47" s="32"/>
      <c r="B47" s="137">
        <v>15</v>
      </c>
      <c r="C47" s="135" t="s">
        <v>133</v>
      </c>
      <c r="D47" s="188" t="s">
        <v>159</v>
      </c>
      <c r="E47" s="189"/>
      <c r="F47" s="108">
        <f aca="true" t="shared" si="13" ref="F47:F53">V47</f>
      </c>
      <c r="G47" s="108">
        <f aca="true" t="shared" si="14" ref="G47:H54">X47</f>
      </c>
      <c r="H47" s="108">
        <f t="shared" si="14"/>
      </c>
      <c r="I47" s="135"/>
      <c r="J47" s="33"/>
      <c r="K47" s="33"/>
      <c r="L47" s="184">
        <f>IF(AND(S47=1,NOT(R16)),"Turite pasirinkti LIETUVIŲ K. A kursą","")</f>
      </c>
      <c r="M47" s="184"/>
      <c r="N47" s="184"/>
      <c r="O47" s="49"/>
      <c r="P47" s="169" t="s">
        <v>134</v>
      </c>
      <c r="Q47" s="121" t="b">
        <v>0</v>
      </c>
      <c r="R47" s="28"/>
      <c r="S47" s="29">
        <f aca="true" t="shared" si="15" ref="S47:S53">IF(Q47,1,0)</f>
        <v>0</v>
      </c>
      <c r="T47" s="28"/>
      <c r="U47" s="31">
        <f>IF(AND(S47=1,R16),1,0)</f>
        <v>0</v>
      </c>
      <c r="V47" s="31">
        <f aca="true" t="shared" si="16" ref="V47:V53">IF(W47&lt;&gt;0,"M","")</f>
      </c>
      <c r="W47" s="29">
        <f aca="true" t="shared" si="17" ref="W47:W60">IF(Q47*U47,2,0)</f>
        <v>0</v>
      </c>
      <c r="X47" s="29">
        <f aca="true" t="shared" si="18" ref="X47:X54">IF(W47=2,1,"")</f>
      </c>
      <c r="Y47" s="20">
        <f>IF(W47=2,1,"")</f>
      </c>
      <c r="Z47" s="38"/>
    </row>
    <row r="48" spans="1:25" ht="27" customHeight="1" thickBot="1">
      <c r="A48" s="32"/>
      <c r="B48" s="29">
        <v>16</v>
      </c>
      <c r="C48" s="135" t="s">
        <v>23</v>
      </c>
      <c r="D48" s="188" t="s">
        <v>158</v>
      </c>
      <c r="E48" s="189"/>
      <c r="F48" s="108">
        <f t="shared" si="13"/>
      </c>
      <c r="G48" s="108">
        <f t="shared" si="14"/>
      </c>
      <c r="H48" s="108">
        <f t="shared" si="14"/>
      </c>
      <c r="I48" s="135"/>
      <c r="J48" s="33"/>
      <c r="K48" s="33"/>
      <c r="L48" s="184">
        <f>IF(AND(S48=1,NOT(Q17)),"Turite pasirinkti ANGLŲ K.","")</f>
      </c>
      <c r="M48" s="184"/>
      <c r="N48" s="184"/>
      <c r="O48" s="49"/>
      <c r="P48" s="113" t="str">
        <f>D48</f>
        <v>Komunikacinių kalbinių įgūdžių tobulinimas</v>
      </c>
      <c r="Q48" s="120" t="b">
        <v>0</v>
      </c>
      <c r="R48" s="28"/>
      <c r="S48" s="29">
        <f t="shared" si="15"/>
        <v>0</v>
      </c>
      <c r="T48" s="28"/>
      <c r="U48" s="31">
        <f>IF(AND(S48=1,Q17),1,0)</f>
        <v>0</v>
      </c>
      <c r="V48" s="31">
        <f t="shared" si="16"/>
      </c>
      <c r="W48" s="29">
        <f t="shared" si="17"/>
        <v>0</v>
      </c>
      <c r="X48" s="29">
        <f t="shared" si="18"/>
      </c>
      <c r="Y48" s="20">
        <f aca="true" t="shared" si="19" ref="Y48:Y54">IF(W48=2,1,"")</f>
      </c>
    </row>
    <row r="49" spans="1:25" ht="27" customHeight="1" thickBot="1">
      <c r="A49" s="32"/>
      <c r="B49" s="110">
        <v>17</v>
      </c>
      <c r="C49" s="74" t="s">
        <v>25</v>
      </c>
      <c r="D49" s="188" t="s">
        <v>160</v>
      </c>
      <c r="E49" s="189"/>
      <c r="F49" s="108">
        <f t="shared" si="13"/>
      </c>
      <c r="G49" s="108">
        <f t="shared" si="14"/>
      </c>
      <c r="H49" s="108">
        <f t="shared" si="14"/>
      </c>
      <c r="I49" s="75"/>
      <c r="J49" s="33"/>
      <c r="K49" s="33"/>
      <c r="L49" s="184">
        <f>IF(AND(S49=1,NOT(R18)),"Turite pasirinkti ISTORIJOS A kursą","")</f>
      </c>
      <c r="M49" s="184"/>
      <c r="N49" s="184"/>
      <c r="O49" s="49"/>
      <c r="P49" s="112" t="s">
        <v>135</v>
      </c>
      <c r="Q49" s="120" t="b">
        <v>0</v>
      </c>
      <c r="R49" s="28"/>
      <c r="S49" s="29">
        <f t="shared" si="15"/>
        <v>0</v>
      </c>
      <c r="T49" s="28"/>
      <c r="U49" s="31">
        <f>IF(AND(S49=1,R18),1,0)</f>
        <v>0</v>
      </c>
      <c r="V49" s="31">
        <f t="shared" si="16"/>
      </c>
      <c r="W49" s="29">
        <f t="shared" si="17"/>
        <v>0</v>
      </c>
      <c r="X49" s="29">
        <f t="shared" si="18"/>
      </c>
      <c r="Y49" s="20">
        <f t="shared" si="19"/>
      </c>
    </row>
    <row r="50" spans="2:25" ht="27" customHeight="1" thickBot="1">
      <c r="B50" s="134">
        <v>18</v>
      </c>
      <c r="C50" s="142" t="s">
        <v>27</v>
      </c>
      <c r="D50" s="197" t="s">
        <v>164</v>
      </c>
      <c r="E50" s="198"/>
      <c r="F50" s="108">
        <f t="shared" si="13"/>
      </c>
      <c r="G50" s="108">
        <f>X50</f>
      </c>
      <c r="H50" s="108">
        <f t="shared" si="14"/>
      </c>
      <c r="I50" s="119"/>
      <c r="J50" s="53"/>
      <c r="K50" s="78"/>
      <c r="L50" s="184">
        <f>IF(AND(S50=1,NOT(R20)),"Turite pasirinkti MATEMATIKOS A kursą","")</f>
      </c>
      <c r="M50" s="184"/>
      <c r="N50" s="184"/>
      <c r="O50" s="36"/>
      <c r="P50" s="112" t="str">
        <f>D50</f>
        <v>Probleminiai uždaviniai                                 (A kursui)</v>
      </c>
      <c r="Q50" s="120" t="b">
        <v>0</v>
      </c>
      <c r="R50" s="28"/>
      <c r="S50" s="29">
        <f t="shared" si="15"/>
        <v>0</v>
      </c>
      <c r="T50" s="28"/>
      <c r="U50" s="31">
        <f>IF(AND(S50=1,R20),1,0)</f>
        <v>0</v>
      </c>
      <c r="V50" s="31">
        <f t="shared" si="16"/>
      </c>
      <c r="W50" s="29">
        <f t="shared" si="17"/>
        <v>0</v>
      </c>
      <c r="X50" s="29">
        <f t="shared" si="18"/>
      </c>
      <c r="Y50" s="20">
        <f t="shared" si="19"/>
      </c>
    </row>
    <row r="51" spans="2:25" ht="27" customHeight="1" thickBot="1">
      <c r="B51" s="110">
        <v>19</v>
      </c>
      <c r="C51" s="142" t="s">
        <v>28</v>
      </c>
      <c r="D51" s="188" t="s">
        <v>161</v>
      </c>
      <c r="E51" s="189"/>
      <c r="F51" s="108">
        <f t="shared" si="13"/>
      </c>
      <c r="G51" s="108">
        <f>X51</f>
      </c>
      <c r="H51" s="108">
        <f t="shared" si="14"/>
      </c>
      <c r="I51" s="54"/>
      <c r="J51" s="53"/>
      <c r="K51" s="78"/>
      <c r="L51" s="184">
        <f>IF(AND(S51=1,NOT(R22)),"Turite pasirinkti BIOLOGIJOS A kursą","")</f>
      </c>
      <c r="M51" s="184"/>
      <c r="N51" s="184"/>
      <c r="O51" s="36"/>
      <c r="P51" s="112" t="s">
        <v>132</v>
      </c>
      <c r="Q51" s="120" t="b">
        <v>0</v>
      </c>
      <c r="R51" s="28"/>
      <c r="S51" s="29">
        <f t="shared" si="15"/>
        <v>0</v>
      </c>
      <c r="T51" s="28"/>
      <c r="U51" s="31">
        <f>IF(AND(S51=1,R22),1,0)</f>
        <v>0</v>
      </c>
      <c r="V51" s="31">
        <f t="shared" si="16"/>
      </c>
      <c r="W51" s="29">
        <f t="shared" si="17"/>
        <v>0</v>
      </c>
      <c r="X51" s="29">
        <f t="shared" si="18"/>
      </c>
      <c r="Y51" s="20">
        <f t="shared" si="19"/>
      </c>
    </row>
    <row r="52" spans="2:25" ht="27" customHeight="1" thickBot="1">
      <c r="B52" s="134">
        <v>20</v>
      </c>
      <c r="C52" s="74" t="s">
        <v>157</v>
      </c>
      <c r="D52" s="188" t="s">
        <v>165</v>
      </c>
      <c r="E52" s="189"/>
      <c r="F52" s="108">
        <f t="shared" si="13"/>
      </c>
      <c r="G52" s="108">
        <f>X52</f>
      </c>
      <c r="H52" s="108">
        <f t="shared" si="14"/>
      </c>
      <c r="I52" s="51"/>
      <c r="J52" s="53"/>
      <c r="K52" s="78"/>
      <c r="L52" s="184">
        <f>IF(AND(S52=1,NOT(R23)),"Turite pasirinkti FIZIKOS A kursą","")</f>
      </c>
      <c r="M52" s="184"/>
      <c r="N52" s="184"/>
      <c r="O52" s="36"/>
      <c r="P52" s="112" t="str">
        <f aca="true" t="shared" si="20" ref="P52:P60">D52</f>
        <v>Fizika gamtoje ir technologijose                                 (A kursui)</v>
      </c>
      <c r="Q52" s="120" t="b">
        <v>0</v>
      </c>
      <c r="R52" s="28"/>
      <c r="S52" s="29">
        <f t="shared" si="15"/>
        <v>0</v>
      </c>
      <c r="T52" s="28"/>
      <c r="U52" s="31">
        <f>IF(AND(S52=1,R23),1,0)</f>
        <v>0</v>
      </c>
      <c r="V52" s="31">
        <f t="shared" si="16"/>
      </c>
      <c r="W52" s="29">
        <f t="shared" si="17"/>
        <v>0</v>
      </c>
      <c r="X52" s="29">
        <f t="shared" si="18"/>
      </c>
      <c r="Y52" s="20">
        <f t="shared" si="19"/>
      </c>
    </row>
    <row r="53" spans="2:25" ht="27" customHeight="1" thickBot="1">
      <c r="B53" s="137">
        <v>21</v>
      </c>
      <c r="C53" s="135" t="s">
        <v>30</v>
      </c>
      <c r="D53" s="188" t="s">
        <v>162</v>
      </c>
      <c r="E53" s="189"/>
      <c r="F53" s="108">
        <f t="shared" si="13"/>
      </c>
      <c r="G53" s="108">
        <f>X53</f>
      </c>
      <c r="H53" s="108">
        <f t="shared" si="14"/>
      </c>
      <c r="I53" s="51"/>
      <c r="J53" s="53"/>
      <c r="K53" s="78"/>
      <c r="L53" s="184">
        <f>IF(AND(S53=1,NOT(R24)),"Turite pasirinkti CHEMIJOS A kursą","")</f>
      </c>
      <c r="M53" s="184"/>
      <c r="N53" s="184"/>
      <c r="O53" s="36"/>
      <c r="P53" s="168" t="str">
        <f t="shared" si="20"/>
        <v>Eksperimentiniai ir teoriniai uždaviniai (A kursui)</v>
      </c>
      <c r="Q53" s="122" t="b">
        <v>0</v>
      </c>
      <c r="R53" s="22"/>
      <c r="S53" s="12">
        <f t="shared" si="15"/>
        <v>0</v>
      </c>
      <c r="T53" s="22"/>
      <c r="U53" s="42">
        <f>IF(AND(S53=1,R24),1,0)</f>
        <v>0</v>
      </c>
      <c r="V53" s="42">
        <f t="shared" si="16"/>
      </c>
      <c r="W53" s="12">
        <f t="shared" si="17"/>
        <v>0</v>
      </c>
      <c r="X53" s="29">
        <f t="shared" si="18"/>
      </c>
      <c r="Y53" s="20">
        <f t="shared" si="19"/>
      </c>
    </row>
    <row r="54" spans="2:25" ht="27" customHeight="1" thickBot="1">
      <c r="B54" s="137">
        <v>22</v>
      </c>
      <c r="C54" s="135" t="s">
        <v>37</v>
      </c>
      <c r="D54" s="188" t="s">
        <v>163</v>
      </c>
      <c r="E54" s="189"/>
      <c r="F54" s="108">
        <f>V54</f>
      </c>
      <c r="G54" s="108">
        <f>X54</f>
      </c>
      <c r="H54" s="108">
        <f t="shared" si="14"/>
      </c>
      <c r="I54" s="51"/>
      <c r="J54" s="53"/>
      <c r="K54" s="78"/>
      <c r="L54" s="184">
        <f>IF(AND(S54=1,NOT(R21)),"Turite pasirinkti INFORMACINIŲ TECHNOLOGIJŲ A kursą","")</f>
      </c>
      <c r="M54" s="184"/>
      <c r="N54" s="184"/>
      <c r="O54" s="36"/>
      <c r="P54" s="168" t="str">
        <f t="shared" si="20"/>
        <v>Išlyginamasis  programavimo kursas   (A kursui)</v>
      </c>
      <c r="Q54" s="122" t="b">
        <v>0</v>
      </c>
      <c r="R54" s="22"/>
      <c r="S54" s="12">
        <f aca="true" t="shared" si="21" ref="S54:S60">IF(Q54,1,0)</f>
        <v>0</v>
      </c>
      <c r="T54" s="22"/>
      <c r="U54" s="42">
        <f>IF(AND(S54=1,R21),1,0)</f>
        <v>0</v>
      </c>
      <c r="V54" s="42">
        <f aca="true" t="shared" si="22" ref="V54:V60">IF(W54&lt;&gt;0,"M","")</f>
      </c>
      <c r="W54" s="12">
        <f t="shared" si="17"/>
        <v>0</v>
      </c>
      <c r="X54" s="29">
        <f t="shared" si="18"/>
      </c>
      <c r="Y54" s="20">
        <f t="shared" si="19"/>
      </c>
    </row>
    <row r="55" spans="2:25" ht="27" customHeight="1" thickBot="1">
      <c r="B55" s="137">
        <v>23</v>
      </c>
      <c r="C55" s="135" t="s">
        <v>37</v>
      </c>
      <c r="D55" s="188" t="s">
        <v>166</v>
      </c>
      <c r="E55" s="189"/>
      <c r="F55" s="108">
        <f aca="true" t="shared" si="23" ref="F55:F60">V55</f>
      </c>
      <c r="G55" s="108">
        <f aca="true" t="shared" si="24" ref="G55:G60">X55</f>
      </c>
      <c r="H55" s="108">
        <f aca="true" t="shared" si="25" ref="H55:H60">Y55</f>
      </c>
      <c r="I55" s="51"/>
      <c r="J55" s="53"/>
      <c r="K55" s="78"/>
      <c r="L55" s="184">
        <f>IF(AND(S55=1,NOT(R21)),"Turite pasirinkti INFORMACINIŲ TECHNOLOGIJŲ A kursą","")</f>
      </c>
      <c r="M55" s="184"/>
      <c r="N55" s="184"/>
      <c r="O55" s="36"/>
      <c r="P55" s="168" t="str">
        <f t="shared" si="20"/>
        <v>Programavimo uždaviniai (A kursui)</v>
      </c>
      <c r="Q55" s="122" t="b">
        <v>0</v>
      </c>
      <c r="R55" s="22"/>
      <c r="S55" s="12">
        <f t="shared" si="21"/>
        <v>0</v>
      </c>
      <c r="T55" s="22"/>
      <c r="U55" s="42">
        <f>IF(AND(S55=1,R21),1,0)</f>
        <v>0</v>
      </c>
      <c r="V55" s="42">
        <f t="shared" si="22"/>
      </c>
      <c r="W55" s="12">
        <f t="shared" si="17"/>
        <v>0</v>
      </c>
      <c r="X55" s="29">
        <f aca="true" t="shared" si="26" ref="X55:X60">IF(W55=2,1,"")</f>
      </c>
      <c r="Y55" s="20">
        <f aca="true" t="shared" si="27" ref="Y55:Y60">IF(W55=2,1,"")</f>
      </c>
    </row>
    <row r="56" spans="2:25" ht="27" customHeight="1" thickBot="1">
      <c r="B56" s="137">
        <v>24</v>
      </c>
      <c r="C56" s="135" t="s">
        <v>26</v>
      </c>
      <c r="D56" s="188" t="s">
        <v>167</v>
      </c>
      <c r="E56" s="189"/>
      <c r="F56" s="108">
        <f t="shared" si="23"/>
      </c>
      <c r="G56" s="108">
        <f t="shared" si="24"/>
      </c>
      <c r="H56" s="108">
        <f t="shared" si="25"/>
      </c>
      <c r="I56" s="51"/>
      <c r="J56" s="53"/>
      <c r="K56" s="78"/>
      <c r="L56" s="184">
        <f>IF(AND(S56=1,NOT(R19)),"Turite pasirinkti GEOGRAFIJOS A kursą","")</f>
      </c>
      <c r="M56" s="184"/>
      <c r="N56" s="184"/>
      <c r="O56" s="36"/>
      <c r="P56" s="168" t="str">
        <f t="shared" si="20"/>
        <v>Praktinė geografija (A kursui)</v>
      </c>
      <c r="Q56" s="122" t="b">
        <v>0</v>
      </c>
      <c r="R56" s="22"/>
      <c r="S56" s="12">
        <f t="shared" si="21"/>
        <v>0</v>
      </c>
      <c r="T56" s="22"/>
      <c r="U56" s="42">
        <f>IF(AND(S56=1,R19),1,0)</f>
        <v>0</v>
      </c>
      <c r="V56" s="42">
        <f t="shared" si="22"/>
      </c>
      <c r="W56" s="12">
        <f t="shared" si="17"/>
        <v>0</v>
      </c>
      <c r="X56" s="29">
        <f t="shared" si="26"/>
      </c>
      <c r="Y56" s="20">
        <f t="shared" si="27"/>
      </c>
    </row>
    <row r="57" spans="2:25" ht="25.5" customHeight="1" hidden="1" thickBot="1">
      <c r="B57" s="137">
        <v>30</v>
      </c>
      <c r="C57" s="135" t="s">
        <v>38</v>
      </c>
      <c r="D57" s="209" t="s">
        <v>154</v>
      </c>
      <c r="E57" s="210"/>
      <c r="F57" s="108">
        <f t="shared" si="23"/>
      </c>
      <c r="G57" s="108">
        <f t="shared" si="24"/>
      </c>
      <c r="H57" s="108">
        <f t="shared" si="25"/>
      </c>
      <c r="I57" s="51"/>
      <c r="J57" s="53"/>
      <c r="K57" s="78"/>
      <c r="L57" s="184">
        <f>IF(AND(S57=1,NOT(Q32)),"Turite pasirinkti PRANCŪZŲ KALBA (2-oji)","")</f>
      </c>
      <c r="M57" s="184"/>
      <c r="N57" s="184"/>
      <c r="O57" s="36"/>
      <c r="P57" s="168" t="str">
        <f t="shared" si="20"/>
        <v>Prancūzų kalos vartojimo įgūdžių tobulinimas,         A2-B2 lygiui</v>
      </c>
      <c r="Q57" s="122" t="b">
        <v>0</v>
      </c>
      <c r="R57" s="22"/>
      <c r="S57" s="12">
        <f t="shared" si="21"/>
        <v>0</v>
      </c>
      <c r="T57" s="22"/>
      <c r="U57" s="42">
        <f>IF(AND(S57=1,Q32),1,0)</f>
        <v>0</v>
      </c>
      <c r="V57" s="42">
        <f t="shared" si="22"/>
      </c>
      <c r="W57" s="12">
        <f t="shared" si="17"/>
        <v>0</v>
      </c>
      <c r="X57" s="29">
        <f t="shared" si="26"/>
      </c>
      <c r="Y57" s="20">
        <f t="shared" si="27"/>
      </c>
    </row>
    <row r="58" spans="2:25" ht="16.5" customHeight="1" hidden="1" thickBot="1">
      <c r="B58" s="137">
        <v>31</v>
      </c>
      <c r="C58" s="135" t="s">
        <v>36</v>
      </c>
      <c r="D58" s="164" t="s">
        <v>144</v>
      </c>
      <c r="F58" s="108">
        <f t="shared" si="23"/>
      </c>
      <c r="G58" s="108">
        <f t="shared" si="24"/>
      </c>
      <c r="H58" s="108">
        <f t="shared" si="25"/>
      </c>
      <c r="I58" s="51"/>
      <c r="J58" s="53"/>
      <c r="K58" s="78"/>
      <c r="L58" s="184">
        <f>IF(AND(S58=1,NOT(Q33)),"Turite pasirinkti RUSŲ KALBA (2-oji)","")</f>
      </c>
      <c r="M58" s="184"/>
      <c r="N58" s="184"/>
      <c r="O58" s="36"/>
      <c r="P58" s="168" t="str">
        <f t="shared" si="20"/>
        <v>Žymiausių rusų menininkų kūryba, A2-B2 lygiui</v>
      </c>
      <c r="Q58" s="122" t="b">
        <v>0</v>
      </c>
      <c r="R58" s="22"/>
      <c r="S58" s="12">
        <f t="shared" si="21"/>
        <v>0</v>
      </c>
      <c r="T58" s="22"/>
      <c r="U58" s="42">
        <f>IF(AND(S58=1,Q33),1,0)</f>
        <v>0</v>
      </c>
      <c r="V58" s="42">
        <f t="shared" si="22"/>
      </c>
      <c r="W58" s="12">
        <f t="shared" si="17"/>
        <v>0</v>
      </c>
      <c r="X58" s="29">
        <f t="shared" si="26"/>
      </c>
      <c r="Y58" s="20">
        <f t="shared" si="27"/>
      </c>
    </row>
    <row r="59" spans="2:25" ht="18" customHeight="1" hidden="1" thickBot="1">
      <c r="B59" s="137">
        <v>32</v>
      </c>
      <c r="C59" s="135" t="s">
        <v>24</v>
      </c>
      <c r="D59" s="209" t="s">
        <v>145</v>
      </c>
      <c r="E59" s="210"/>
      <c r="F59" s="108">
        <f t="shared" si="23"/>
      </c>
      <c r="G59" s="108">
        <f t="shared" si="24"/>
      </c>
      <c r="H59" s="108">
        <f t="shared" si="25"/>
      </c>
      <c r="I59" s="51"/>
      <c r="J59" s="53"/>
      <c r="K59" s="78"/>
      <c r="L59" s="264">
        <f>IF(AND(S59=1,NOT(Q34)),"Turite pasirinkti VOKIEČIŲ KALBA (2-oji)","")</f>
      </c>
      <c r="M59" s="264"/>
      <c r="N59" s="264"/>
      <c r="O59" s="36"/>
      <c r="P59" s="21" t="str">
        <f t="shared" si="20"/>
        <v>Žodinė raiška (kalbėjimas) B1-B2 lygiui</v>
      </c>
      <c r="Q59" s="122" t="b">
        <v>0</v>
      </c>
      <c r="R59" s="22"/>
      <c r="S59" s="12">
        <f t="shared" si="21"/>
        <v>0</v>
      </c>
      <c r="T59" s="22"/>
      <c r="U59" s="42">
        <f>IF(AND(S59=1,Q34),1,0)</f>
        <v>0</v>
      </c>
      <c r="V59" s="42">
        <f t="shared" si="22"/>
      </c>
      <c r="W59" s="12">
        <f t="shared" si="17"/>
        <v>0</v>
      </c>
      <c r="X59" s="29">
        <f t="shared" si="26"/>
      </c>
      <c r="Y59" s="20">
        <f t="shared" si="27"/>
      </c>
    </row>
    <row r="60" spans="2:25" ht="16.5" customHeight="1" hidden="1" thickBot="1">
      <c r="B60" s="137">
        <v>33</v>
      </c>
      <c r="C60" s="135" t="s">
        <v>153</v>
      </c>
      <c r="D60" s="209" t="s">
        <v>146</v>
      </c>
      <c r="E60" s="210"/>
      <c r="F60" s="108">
        <f t="shared" si="23"/>
      </c>
      <c r="G60" s="108">
        <f t="shared" si="24"/>
      </c>
      <c r="H60" s="108">
        <f t="shared" si="25"/>
      </c>
      <c r="I60" s="51"/>
      <c r="J60" s="53"/>
      <c r="K60" s="78"/>
      <c r="L60" s="264">
        <f>IF(AND(S60=1,NOT(Q44)),"Turite pasirinkti ISPANŲ KALBĄ","")</f>
      </c>
      <c r="M60" s="264"/>
      <c r="N60" s="264"/>
      <c r="O60" s="36"/>
      <c r="P60" s="21" t="str">
        <f t="shared" si="20"/>
        <v>Turintiems pradines kalbos žinias, A2 lygiui</v>
      </c>
      <c r="Q60" s="122" t="b">
        <v>0</v>
      </c>
      <c r="R60" s="22"/>
      <c r="S60" s="12">
        <f t="shared" si="21"/>
        <v>0</v>
      </c>
      <c r="T60" s="22"/>
      <c r="U60" s="42">
        <f>IF(AND(S60=1,Q44),1,0)</f>
        <v>0</v>
      </c>
      <c r="V60" s="42">
        <f t="shared" si="22"/>
      </c>
      <c r="W60" s="12">
        <f t="shared" si="17"/>
        <v>0</v>
      </c>
      <c r="X60" s="29">
        <f t="shared" si="26"/>
      </c>
      <c r="Y60" s="20">
        <f t="shared" si="27"/>
      </c>
    </row>
    <row r="61" spans="2:25" ht="15.75" customHeight="1">
      <c r="B61" s="44"/>
      <c r="C61" s="48"/>
      <c r="D61" s="163"/>
      <c r="E61" s="139"/>
      <c r="F61" s="45"/>
      <c r="G61" s="45"/>
      <c r="H61" s="45"/>
      <c r="I61" s="141"/>
      <c r="J61" s="53"/>
      <c r="K61" s="78"/>
      <c r="L61" s="160"/>
      <c r="M61" s="160"/>
      <c r="N61" s="160"/>
      <c r="O61" s="36"/>
      <c r="P61" s="37"/>
      <c r="Q61" s="32"/>
      <c r="R61" s="38"/>
      <c r="S61" s="39"/>
      <c r="T61" s="38"/>
      <c r="U61" s="140"/>
      <c r="V61" s="140"/>
      <c r="W61" s="39"/>
      <c r="X61" s="39"/>
      <c r="Y61" s="39"/>
    </row>
    <row r="62" spans="1:15" s="64" customFormat="1" ht="19.5" customHeight="1">
      <c r="A62" s="4"/>
      <c r="B62" s="4"/>
      <c r="C62" s="55" t="s">
        <v>0</v>
      </c>
      <c r="D62" s="70">
        <f>COUNTIF(V14:V44,"B")+COUNTIF(V14:V44,"A")+COUNTIF(V14:V44,"P")+COUNTIF(V14:V44,"A1")+COUNTIF(V14:V44,"B1")+COUNTIF(V14:V44,"B2")</f>
        <v>0</v>
      </c>
      <c r="E62" s="161" t="str">
        <f>IF((D62&gt;7),"","Dalykų turi būti ne mažiau kaip 8")</f>
        <v>Dalykų turi būti ne mažiau kaip 8</v>
      </c>
      <c r="F62" s="61"/>
      <c r="G62" s="61"/>
      <c r="H62" s="61"/>
      <c r="I62" s="61"/>
      <c r="J62" s="61"/>
      <c r="K62" s="158"/>
      <c r="L62" s="61"/>
      <c r="M62" s="62"/>
      <c r="N62" s="62"/>
      <c r="O62" s="88"/>
    </row>
    <row r="63" spans="1:15" s="64" customFormat="1" ht="9" customHeight="1">
      <c r="A63" s="4"/>
      <c r="B63" s="4"/>
      <c r="C63" s="145"/>
      <c r="D63" s="4"/>
      <c r="E63" s="162"/>
      <c r="F63" s="4"/>
      <c r="G63" s="56"/>
      <c r="H63" s="56"/>
      <c r="I63" s="56"/>
      <c r="J63" s="38"/>
      <c r="K63" s="32"/>
      <c r="L63" s="61"/>
      <c r="M63" s="62"/>
      <c r="N63" s="62"/>
      <c r="O63" s="88"/>
    </row>
    <row r="64" spans="1:15" s="64" customFormat="1" ht="24" customHeight="1">
      <c r="A64" s="207" t="s">
        <v>86</v>
      </c>
      <c r="B64" s="207"/>
      <c r="C64" s="208"/>
      <c r="D64" s="70">
        <f>SUM(G14:G60)</f>
        <v>0</v>
      </c>
      <c r="E64" s="61" t="str">
        <f>IF((D64&lt;=32)*(D64&gt;=28),"","Pamokų turi būti ne mažiau kaip 28 ir ne daugiau kaip 32")</f>
        <v>Pamokų turi būti ne mažiau kaip 28 ir ne daugiau kaip 32</v>
      </c>
      <c r="F64" s="4"/>
      <c r="G64" s="57"/>
      <c r="H64" s="57"/>
      <c r="I64" s="57"/>
      <c r="J64" s="38"/>
      <c r="K64" s="32"/>
      <c r="L64" s="61"/>
      <c r="M64" s="62"/>
      <c r="N64" s="62"/>
      <c r="O64" s="88"/>
    </row>
    <row r="65" spans="1:15" s="64" customFormat="1" ht="11.25" customHeight="1">
      <c r="A65" s="4"/>
      <c r="B65" s="4"/>
      <c r="C65" s="145"/>
      <c r="D65" s="4"/>
      <c r="E65" s="162"/>
      <c r="F65" s="4"/>
      <c r="G65" s="56"/>
      <c r="H65" s="56"/>
      <c r="I65" s="56"/>
      <c r="J65" s="38"/>
      <c r="K65" s="32"/>
      <c r="L65" s="61"/>
      <c r="M65" s="62"/>
      <c r="N65" s="62"/>
      <c r="O65" s="88"/>
    </row>
    <row r="66" spans="1:15" s="64" customFormat="1" ht="24.75" customHeight="1">
      <c r="A66" s="207" t="s">
        <v>87</v>
      </c>
      <c r="B66" s="207"/>
      <c r="C66" s="208"/>
      <c r="D66" s="70">
        <f>SUM(H14:H60)</f>
        <v>0</v>
      </c>
      <c r="E66" s="61" t="str">
        <f>IF((D66&lt;=32)*(D66&gt;=28),"","Pamokų turi būti ne mažiau kaip 28 ir ne daugiau kaip 32")</f>
        <v>Pamokų turi būti ne mažiau kaip 28 ir ne daugiau kaip 32</v>
      </c>
      <c r="F66" s="4"/>
      <c r="G66" s="57"/>
      <c r="H66" s="57"/>
      <c r="I66" s="57"/>
      <c r="J66" s="38"/>
      <c r="K66" s="32"/>
      <c r="L66" s="61"/>
      <c r="M66" s="62"/>
      <c r="N66" s="62"/>
      <c r="O66" s="88"/>
    </row>
    <row r="67" spans="1:15" s="64" customFormat="1" ht="10.5" customHeight="1">
      <c r="A67" s="4"/>
      <c r="B67" s="4"/>
      <c r="C67" s="145"/>
      <c r="D67" s="4"/>
      <c r="E67" s="56"/>
      <c r="F67" s="4"/>
      <c r="G67" s="56"/>
      <c r="H67" s="56"/>
      <c r="I67" s="56"/>
      <c r="J67" s="38"/>
      <c r="K67" s="32"/>
      <c r="L67" s="61"/>
      <c r="M67" s="62"/>
      <c r="N67" s="62"/>
      <c r="O67" s="88"/>
    </row>
    <row r="68" spans="1:15" s="64" customFormat="1" ht="12.75" customHeight="1">
      <c r="A68" s="4"/>
      <c r="B68" s="4"/>
      <c r="C68" s="55" t="s">
        <v>41</v>
      </c>
      <c r="D68" s="70">
        <f>COUNTIF(V14:V42,"A")</f>
        <v>0</v>
      </c>
      <c r="E68" s="56"/>
      <c r="F68" s="4"/>
      <c r="G68" s="56"/>
      <c r="H68" s="58"/>
      <c r="I68" s="56"/>
      <c r="J68" s="57"/>
      <c r="K68" s="79"/>
      <c r="L68" s="61"/>
      <c r="M68" s="62"/>
      <c r="N68" s="62"/>
      <c r="O68" s="88"/>
    </row>
    <row r="69" spans="1:15" s="64" customFormat="1" ht="6.75" customHeight="1">
      <c r="A69" s="4"/>
      <c r="B69" s="4"/>
      <c r="C69" s="145"/>
      <c r="D69" s="4"/>
      <c r="E69" s="56"/>
      <c r="F69" s="4"/>
      <c r="G69" s="56"/>
      <c r="H69" s="56"/>
      <c r="I69" s="56"/>
      <c r="J69" s="38"/>
      <c r="K69" s="32"/>
      <c r="L69" s="61"/>
      <c r="M69" s="62"/>
      <c r="N69" s="62"/>
      <c r="O69" s="88"/>
    </row>
    <row r="70" spans="1:15" s="64" customFormat="1" ht="12.75" customHeight="1">
      <c r="A70" s="4"/>
      <c r="B70" s="4"/>
      <c r="C70" s="55" t="s">
        <v>42</v>
      </c>
      <c r="D70" s="70">
        <f>COUNTIF(V14:V42,"B")</f>
        <v>0</v>
      </c>
      <c r="E70" s="56"/>
      <c r="F70" s="4"/>
      <c r="G70" s="56"/>
      <c r="H70" s="58"/>
      <c r="I70" s="56"/>
      <c r="J70" s="57"/>
      <c r="K70" s="79"/>
      <c r="L70" s="61"/>
      <c r="M70" s="62"/>
      <c r="N70" s="62"/>
      <c r="O70" s="88"/>
    </row>
    <row r="71" spans="3:16" ht="15" customHeight="1">
      <c r="C71" s="55"/>
      <c r="D71" s="59"/>
      <c r="E71" s="56"/>
      <c r="G71" s="56"/>
      <c r="H71" s="58"/>
      <c r="I71" s="56"/>
      <c r="J71" s="57"/>
      <c r="K71" s="79"/>
      <c r="L71" s="61"/>
      <c r="M71" s="62"/>
      <c r="N71" s="62"/>
      <c r="P71" s="4"/>
    </row>
    <row r="72" spans="3:15" s="173" customFormat="1" ht="13.5">
      <c r="C72" s="174">
        <f ca="1">TODAY()</f>
        <v>42152</v>
      </c>
      <c r="E72" s="181"/>
      <c r="F72" s="175"/>
      <c r="G72" s="187"/>
      <c r="H72" s="187"/>
      <c r="I72" s="187"/>
      <c r="J72" s="187"/>
      <c r="K72" s="176"/>
      <c r="L72" s="176"/>
      <c r="M72" s="177"/>
      <c r="N72" s="177"/>
      <c r="O72" s="178"/>
    </row>
    <row r="73" spans="3:15" s="173" customFormat="1" ht="12.75">
      <c r="C73" s="179" t="s">
        <v>43</v>
      </c>
      <c r="E73" s="180" t="s">
        <v>67</v>
      </c>
      <c r="F73" s="175"/>
      <c r="G73" s="183" t="s">
        <v>68</v>
      </c>
      <c r="H73" s="183"/>
      <c r="I73" s="183"/>
      <c r="J73" s="183"/>
      <c r="K73" s="176"/>
      <c r="L73" s="176"/>
      <c r="M73" s="177"/>
      <c r="N73" s="177"/>
      <c r="O73" s="178"/>
    </row>
    <row r="74" spans="2:16" ht="12.75">
      <c r="B74" s="60"/>
      <c r="C74" s="60"/>
      <c r="D74" s="60"/>
      <c r="E74" s="60"/>
      <c r="F74" s="60"/>
      <c r="G74" s="60"/>
      <c r="H74" s="60"/>
      <c r="I74" s="60"/>
      <c r="J74" s="60"/>
      <c r="K74" s="80"/>
      <c r="L74" s="61"/>
      <c r="M74" s="61"/>
      <c r="N74" s="61"/>
      <c r="O74" s="61"/>
      <c r="P74" s="40"/>
    </row>
    <row r="75" ht="15.75" hidden="1">
      <c r="P75" s="40"/>
    </row>
    <row r="76" ht="15.75" hidden="1">
      <c r="P76" s="40"/>
    </row>
    <row r="77" ht="15.75" hidden="1">
      <c r="P77" s="40"/>
    </row>
    <row r="78" ht="15.75" hidden="1">
      <c r="P78" s="40"/>
    </row>
    <row r="79" ht="15.75" hidden="1">
      <c r="P79" s="40"/>
    </row>
    <row r="80" ht="15.75" hidden="1">
      <c r="P80" s="40"/>
    </row>
    <row r="81" ht="15.75" hidden="1">
      <c r="P81" s="40"/>
    </row>
    <row r="82" ht="15.75" hidden="1">
      <c r="P82" s="40"/>
    </row>
    <row r="83" ht="15.75" hidden="1">
      <c r="P83" s="40"/>
    </row>
    <row r="84" ht="15.75" hidden="1">
      <c r="P84" s="40"/>
    </row>
    <row r="85" ht="15.75" hidden="1">
      <c r="P85" s="40"/>
    </row>
    <row r="86" ht="15.75" hidden="1">
      <c r="P86" s="40"/>
    </row>
    <row r="87" ht="15.75" hidden="1">
      <c r="P87" s="40"/>
    </row>
    <row r="88" ht="15.75" hidden="1">
      <c r="P88" s="40"/>
    </row>
    <row r="89" ht="15.75" hidden="1">
      <c r="P89" s="40"/>
    </row>
    <row r="90" ht="15.75" hidden="1">
      <c r="P90" s="40"/>
    </row>
    <row r="91" ht="15.75" hidden="1">
      <c r="P91" s="40"/>
    </row>
    <row r="92" ht="15.75" hidden="1">
      <c r="P92" s="40"/>
    </row>
    <row r="93" ht="15.75" hidden="1">
      <c r="P93" s="40"/>
    </row>
    <row r="94" ht="15.75" hidden="1">
      <c r="P94" s="40"/>
    </row>
    <row r="95" ht="15.75" hidden="1">
      <c r="P95" s="40"/>
    </row>
    <row r="96" ht="15.75" hidden="1">
      <c r="P96" s="40"/>
    </row>
    <row r="97" ht="15.75" hidden="1">
      <c r="P97" s="40"/>
    </row>
    <row r="98" ht="15.75" hidden="1">
      <c r="P98" s="40"/>
    </row>
    <row r="99" ht="15.75" hidden="1">
      <c r="P99" s="40"/>
    </row>
    <row r="100" ht="15.75" hidden="1">
      <c r="P100" s="40"/>
    </row>
    <row r="101" ht="15.75" hidden="1">
      <c r="P101" s="40"/>
    </row>
    <row r="102" ht="15.75" hidden="1">
      <c r="P102" s="40"/>
    </row>
    <row r="103" ht="15.75" hidden="1">
      <c r="P103" s="40"/>
    </row>
    <row r="104" ht="15.75" hidden="1">
      <c r="P104" s="40"/>
    </row>
    <row r="105" ht="15.75" hidden="1">
      <c r="P105" s="40"/>
    </row>
    <row r="106" ht="15.75" hidden="1">
      <c r="P106" s="40"/>
    </row>
    <row r="107" ht="15.75" hidden="1">
      <c r="P107" s="40"/>
    </row>
    <row r="108" ht="15.75" hidden="1">
      <c r="P108" s="40"/>
    </row>
    <row r="109" ht="15.75" hidden="1">
      <c r="P109" s="40"/>
    </row>
    <row r="110" ht="15.75" hidden="1">
      <c r="P110" s="40"/>
    </row>
    <row r="111" ht="15.75" hidden="1">
      <c r="P111" s="40"/>
    </row>
    <row r="112" ht="15.75" hidden="1">
      <c r="P112" s="40"/>
    </row>
    <row r="113" ht="15.75" hidden="1">
      <c r="P113" s="40"/>
    </row>
    <row r="114" ht="15.75" hidden="1">
      <c r="P114" s="40"/>
    </row>
    <row r="115" ht="15.75" hidden="1">
      <c r="P115" s="40"/>
    </row>
    <row r="116" ht="15.75" hidden="1">
      <c r="P116" s="40"/>
    </row>
    <row r="117" ht="15.75" hidden="1">
      <c r="P117" s="40"/>
    </row>
    <row r="118" ht="15.75" hidden="1">
      <c r="P118" s="40"/>
    </row>
    <row r="119" ht="15.75" hidden="1">
      <c r="P119" s="40"/>
    </row>
    <row r="120" ht="15.75" hidden="1">
      <c r="P120" s="40"/>
    </row>
    <row r="121" ht="15.75" hidden="1">
      <c r="P121" s="40"/>
    </row>
    <row r="122" ht="15.75" hidden="1">
      <c r="P122" s="40"/>
    </row>
    <row r="123" ht="15.75" hidden="1">
      <c r="P123" s="40"/>
    </row>
    <row r="124" ht="15.75" hidden="1">
      <c r="P124" s="40"/>
    </row>
    <row r="125" ht="15.75" hidden="1">
      <c r="P125" s="40"/>
    </row>
    <row r="126" ht="15.75" hidden="1">
      <c r="P126" s="40"/>
    </row>
    <row r="127" ht="15.75" hidden="1">
      <c r="P127" s="40"/>
    </row>
    <row r="128" ht="15.75" hidden="1">
      <c r="P128" s="40"/>
    </row>
    <row r="129" ht="15.75" hidden="1">
      <c r="P129" s="40"/>
    </row>
    <row r="130" ht="15.75" hidden="1">
      <c r="P130" s="40"/>
    </row>
    <row r="131" ht="15.75" hidden="1">
      <c r="P131" s="40"/>
    </row>
    <row r="132" ht="15.75" hidden="1">
      <c r="P132" s="40"/>
    </row>
    <row r="133" ht="15.75" hidden="1">
      <c r="P133" s="40"/>
    </row>
    <row r="134" ht="15.75" hidden="1">
      <c r="P134" s="40"/>
    </row>
    <row r="135" ht="15.75" hidden="1">
      <c r="P135" s="40"/>
    </row>
    <row r="136" ht="15.75" hidden="1">
      <c r="P136" s="40"/>
    </row>
    <row r="137" ht="15.75" hidden="1">
      <c r="P137" s="40"/>
    </row>
    <row r="138" ht="15.75" hidden="1">
      <c r="P138" s="40"/>
    </row>
    <row r="139" ht="15.75" hidden="1">
      <c r="P139" s="40"/>
    </row>
    <row r="140" ht="15.75" hidden="1">
      <c r="P140" s="40"/>
    </row>
    <row r="141" ht="15.75" hidden="1">
      <c r="P141" s="40"/>
    </row>
    <row r="142" ht="15.75" hidden="1">
      <c r="P142" s="40"/>
    </row>
    <row r="143" ht="15.75" hidden="1">
      <c r="P143" s="40"/>
    </row>
    <row r="144" ht="15.75" hidden="1">
      <c r="P144" s="40"/>
    </row>
    <row r="145" ht="15.75" hidden="1">
      <c r="P145" s="40"/>
    </row>
    <row r="146" ht="15.75" hidden="1">
      <c r="P146" s="40"/>
    </row>
    <row r="147" ht="15.75" hidden="1">
      <c r="P147" s="40"/>
    </row>
    <row r="148" ht="15.75" hidden="1">
      <c r="P148" s="40"/>
    </row>
    <row r="149" ht="15.75" hidden="1">
      <c r="P149" s="40"/>
    </row>
    <row r="150" ht="15.75" hidden="1">
      <c r="P150" s="40"/>
    </row>
    <row r="151" ht="15.75" hidden="1">
      <c r="P151" s="40"/>
    </row>
    <row r="152" ht="15.75" hidden="1">
      <c r="P152" s="40"/>
    </row>
    <row r="153" ht="15.75" hidden="1">
      <c r="P153" s="40"/>
    </row>
    <row r="154" ht="15.75" hidden="1">
      <c r="P154" s="40"/>
    </row>
    <row r="155" ht="15.75" hidden="1">
      <c r="P155" s="40"/>
    </row>
    <row r="156" ht="15.75" hidden="1">
      <c r="P156" s="40"/>
    </row>
    <row r="157" ht="15.75" hidden="1">
      <c r="P157" s="40"/>
    </row>
    <row r="158" ht="15.75" hidden="1">
      <c r="P158" s="40"/>
    </row>
    <row r="159" ht="15.75" hidden="1">
      <c r="P159" s="40"/>
    </row>
    <row r="160" ht="15.75" hidden="1">
      <c r="P160" s="40"/>
    </row>
    <row r="161" ht="15.75" hidden="1">
      <c r="P161" s="40"/>
    </row>
    <row r="162" ht="15.75" hidden="1">
      <c r="P162" s="40"/>
    </row>
    <row r="163" ht="15.75" hidden="1">
      <c r="P163" s="40"/>
    </row>
    <row r="164" ht="15.75" hidden="1">
      <c r="P164" s="40"/>
    </row>
    <row r="165" ht="15.75" hidden="1">
      <c r="P165" s="40"/>
    </row>
    <row r="166" ht="15.75" hidden="1">
      <c r="P166" s="40"/>
    </row>
    <row r="167" ht="15.75" hidden="1">
      <c r="P167" s="40"/>
    </row>
    <row r="168" ht="15.75" hidden="1">
      <c r="P168" s="40"/>
    </row>
    <row r="169" ht="15.75" hidden="1">
      <c r="P169" s="40"/>
    </row>
    <row r="170" ht="15.75" hidden="1">
      <c r="P170" s="40"/>
    </row>
    <row r="171" ht="15.75" hidden="1">
      <c r="P171" s="40"/>
    </row>
    <row r="172" ht="15.75" hidden="1">
      <c r="P172" s="40"/>
    </row>
    <row r="173" ht="15.75" hidden="1">
      <c r="P173" s="40"/>
    </row>
    <row r="174" ht="15.75" hidden="1">
      <c r="P174" s="40"/>
    </row>
    <row r="175" ht="15.75" hidden="1">
      <c r="P175" s="40"/>
    </row>
    <row r="176" ht="15.75" hidden="1">
      <c r="P176" s="40"/>
    </row>
    <row r="177" ht="15.75" hidden="1">
      <c r="P177" s="40"/>
    </row>
    <row r="178" ht="15.75" hidden="1">
      <c r="P178" s="40"/>
    </row>
    <row r="179" ht="15.75" hidden="1">
      <c r="P179" s="40"/>
    </row>
    <row r="180" ht="15.75" hidden="1">
      <c r="P180" s="40"/>
    </row>
    <row r="181" ht="15.75" hidden="1">
      <c r="P181" s="40"/>
    </row>
    <row r="182" ht="15.75" hidden="1">
      <c r="P182" s="40"/>
    </row>
    <row r="183" ht="15.75" hidden="1">
      <c r="P183" s="40"/>
    </row>
    <row r="184" ht="15.75" hidden="1">
      <c r="P184" s="40"/>
    </row>
    <row r="185" ht="15.75" hidden="1">
      <c r="P185" s="40"/>
    </row>
    <row r="186" ht="15.75" hidden="1">
      <c r="P186" s="40"/>
    </row>
    <row r="187" ht="15.75" hidden="1">
      <c r="P187" s="40"/>
    </row>
    <row r="188" ht="15.75" hidden="1">
      <c r="P188" s="40"/>
    </row>
    <row r="189" ht="15.75" hidden="1">
      <c r="P189" s="40"/>
    </row>
    <row r="190" ht="15.75" hidden="1">
      <c r="P190" s="40"/>
    </row>
    <row r="191" ht="15.75" hidden="1">
      <c r="P191" s="40"/>
    </row>
    <row r="192" ht="15.75" hidden="1">
      <c r="P192" s="40"/>
    </row>
    <row r="193" ht="15.75" hidden="1">
      <c r="P193" s="40"/>
    </row>
    <row r="194" ht="15.75" hidden="1">
      <c r="P194" s="40"/>
    </row>
    <row r="195" ht="15.75" hidden="1">
      <c r="P195" s="40"/>
    </row>
    <row r="196" ht="15.75" hidden="1">
      <c r="P196" s="40"/>
    </row>
    <row r="197" ht="15.75" hidden="1">
      <c r="P197" s="40"/>
    </row>
    <row r="198" ht="15.75" hidden="1">
      <c r="P198" s="40"/>
    </row>
    <row r="199" ht="15.75" hidden="1">
      <c r="P199" s="40"/>
    </row>
    <row r="200" ht="15.75" hidden="1">
      <c r="P200" s="40"/>
    </row>
    <row r="201" ht="15.75" hidden="1">
      <c r="P201" s="40"/>
    </row>
    <row r="202" ht="15.75" hidden="1">
      <c r="P202" s="40"/>
    </row>
    <row r="203" ht="15.75" hidden="1">
      <c r="P203" s="40"/>
    </row>
    <row r="204" ht="15.75" hidden="1">
      <c r="P204" s="40"/>
    </row>
    <row r="205" ht="15.75" hidden="1">
      <c r="P205" s="40"/>
    </row>
    <row r="206" ht="15.75" hidden="1">
      <c r="P206" s="40"/>
    </row>
    <row r="207" ht="15.75" hidden="1">
      <c r="P207" s="40"/>
    </row>
    <row r="208" ht="15.75" hidden="1">
      <c r="P208" s="40"/>
    </row>
    <row r="209" ht="15.75" hidden="1">
      <c r="P209" s="40"/>
    </row>
    <row r="210" ht="15.75" hidden="1">
      <c r="P210" s="40"/>
    </row>
    <row r="211" ht="15.75" hidden="1">
      <c r="P211" s="40"/>
    </row>
    <row r="212" ht="15.75" hidden="1">
      <c r="P212" s="40"/>
    </row>
    <row r="213" ht="15.75" hidden="1">
      <c r="P213" s="40"/>
    </row>
    <row r="214" ht="15.75" hidden="1">
      <c r="P214" s="40"/>
    </row>
    <row r="215" ht="15.75" hidden="1">
      <c r="P215" s="40"/>
    </row>
    <row r="216" ht="15.75" hidden="1">
      <c r="P216" s="40"/>
    </row>
    <row r="217" ht="15.75" hidden="1">
      <c r="P217" s="40"/>
    </row>
    <row r="218" ht="15.75" hidden="1">
      <c r="P218" s="40"/>
    </row>
    <row r="219" ht="15.75" hidden="1">
      <c r="P219" s="40"/>
    </row>
    <row r="220" ht="15.75" hidden="1">
      <c r="P220" s="40"/>
    </row>
    <row r="221" ht="15.75" hidden="1">
      <c r="P221" s="40"/>
    </row>
    <row r="222" ht="15.75" hidden="1">
      <c r="P222" s="40"/>
    </row>
    <row r="223" ht="15.75" hidden="1">
      <c r="P223" s="40"/>
    </row>
    <row r="224" ht="15.75" hidden="1">
      <c r="P224" s="40"/>
    </row>
    <row r="225" ht="15.75" hidden="1">
      <c r="P225" s="40"/>
    </row>
    <row r="226" ht="15.75" hidden="1">
      <c r="P226" s="40"/>
    </row>
    <row r="227" ht="15.75" hidden="1">
      <c r="P227" s="40"/>
    </row>
    <row r="228" ht="15.75" hidden="1">
      <c r="P228" s="40"/>
    </row>
    <row r="229" ht="15.75" hidden="1">
      <c r="P229" s="40"/>
    </row>
    <row r="230" ht="15.75" hidden="1">
      <c r="P230" s="40"/>
    </row>
    <row r="231" ht="15.75" hidden="1">
      <c r="P231" s="40"/>
    </row>
    <row r="232" ht="15.75" hidden="1">
      <c r="P232" s="40"/>
    </row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4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22" ht="15.75"/>
    <row r="323" ht="15.75"/>
    <row r="324" ht="15.75"/>
    <row r="325" ht="15.75"/>
    <row r="326" ht="15.75"/>
    <row r="331" ht="15.75"/>
    <row r="332" ht="15.75"/>
    <row r="338" ht="15.75"/>
    <row r="340" ht="15.75"/>
    <row r="341" ht="15.75"/>
    <row r="342" ht="15.75"/>
    <row r="357" ht="15.75"/>
    <row r="358" ht="15.75"/>
    <row r="373" ht="15.75"/>
    <row r="374" ht="15.75"/>
    <row r="390" ht="15.75"/>
    <row r="406" ht="15.75"/>
    <row r="422" ht="15.75"/>
    <row r="438" ht="15.75"/>
    <row r="454" ht="15.75"/>
    <row r="470" ht="15.75"/>
    <row r="486" ht="15.75"/>
    <row r="502" ht="15.75"/>
    <row r="518" ht="15.75"/>
    <row r="534" ht="15.75"/>
    <row r="550" ht="15.75"/>
    <row r="566" ht="15.75"/>
    <row r="581" ht="15.75"/>
    <row r="582" ht="15.75"/>
    <row r="597" ht="15.75"/>
    <row r="598" ht="15.75"/>
    <row r="612" ht="15.75"/>
    <row r="613" ht="15.75"/>
    <row r="614" ht="15.75"/>
    <row r="626" ht="15.75"/>
    <row r="627" ht="15.75"/>
    <row r="628" ht="15.75"/>
    <row r="629" ht="15.75"/>
    <row r="630" ht="15.75"/>
    <row r="635" ht="15.75"/>
    <row r="636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 hidden="1">
      <c r="Q667" s="4" t="b">
        <v>0</v>
      </c>
    </row>
    <row r="668" ht="15.75"/>
    <row r="669" ht="15.75"/>
    <row r="670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</sheetData>
  <sheetProtection selectLockedCells="1"/>
  <protectedRanges>
    <protectedRange sqref="F32:H34 F14:H29 F37:H44 F47:H61" name="Diapazonas3"/>
    <protectedRange sqref="G8:H8 G6:K6 D6" name="Diapazonas1"/>
    <protectedRange sqref="P45:Q46 R45:Y47 Q47 P14:Y44 P48:Y61" name="Diapazonas4"/>
  </protectedRanges>
  <mergeCells count="110">
    <mergeCell ref="L49:N49"/>
    <mergeCell ref="D49:E49"/>
    <mergeCell ref="L53:N53"/>
    <mergeCell ref="L50:N50"/>
    <mergeCell ref="L57:N57"/>
    <mergeCell ref="L58:N58"/>
    <mergeCell ref="L55:N55"/>
    <mergeCell ref="L56:N56"/>
    <mergeCell ref="L51:N51"/>
    <mergeCell ref="D52:E52"/>
    <mergeCell ref="L59:N59"/>
    <mergeCell ref="L60:N60"/>
    <mergeCell ref="L54:N54"/>
    <mergeCell ref="L52:N52"/>
    <mergeCell ref="L16:N16"/>
    <mergeCell ref="C14:C15"/>
    <mergeCell ref="C16:C17"/>
    <mergeCell ref="L48:N48"/>
    <mergeCell ref="D55:E55"/>
    <mergeCell ref="D56:E56"/>
    <mergeCell ref="L47:N47"/>
    <mergeCell ref="B14:B15"/>
    <mergeCell ref="F12:F13"/>
    <mergeCell ref="L14:N15"/>
    <mergeCell ref="D16:E16"/>
    <mergeCell ref="L18:N19"/>
    <mergeCell ref="D18:E18"/>
    <mergeCell ref="I17:J17"/>
    <mergeCell ref="D17:E17"/>
    <mergeCell ref="L17:N17"/>
    <mergeCell ref="D21:E21"/>
    <mergeCell ref="B46:I46"/>
    <mergeCell ref="C43:E43"/>
    <mergeCell ref="D24:E24"/>
    <mergeCell ref="C44:E44"/>
    <mergeCell ref="C39:E39"/>
    <mergeCell ref="C38:E38"/>
    <mergeCell ref="C32:C34"/>
    <mergeCell ref="B31:J31"/>
    <mergeCell ref="D47:E47"/>
    <mergeCell ref="B16:B17"/>
    <mergeCell ref="B18:B19"/>
    <mergeCell ref="C18:C19"/>
    <mergeCell ref="B36:I36"/>
    <mergeCell ref="D28:E28"/>
    <mergeCell ref="I33:J33"/>
    <mergeCell ref="I32:J32"/>
    <mergeCell ref="D22:E22"/>
    <mergeCell ref="D23:E23"/>
    <mergeCell ref="S12:S13"/>
    <mergeCell ref="P12:P13"/>
    <mergeCell ref="A14:A29"/>
    <mergeCell ref="C37:E37"/>
    <mergeCell ref="C41:E41"/>
    <mergeCell ref="C42:E42"/>
    <mergeCell ref="B25:B28"/>
    <mergeCell ref="C25:C28"/>
    <mergeCell ref="B22:B24"/>
    <mergeCell ref="C22:C24"/>
    <mergeCell ref="Y12:Y13"/>
    <mergeCell ref="T12:T13"/>
    <mergeCell ref="U12:U13"/>
    <mergeCell ref="V12:V13"/>
    <mergeCell ref="W12:W13"/>
    <mergeCell ref="X12:X13"/>
    <mergeCell ref="D12:E13"/>
    <mergeCell ref="Q12:Q13"/>
    <mergeCell ref="R12:R13"/>
    <mergeCell ref="L22:N24"/>
    <mergeCell ref="L20:N20"/>
    <mergeCell ref="L21:N21"/>
    <mergeCell ref="D19:E19"/>
    <mergeCell ref="D14:E14"/>
    <mergeCell ref="D15:E15"/>
    <mergeCell ref="D20:E20"/>
    <mergeCell ref="A2:J2"/>
    <mergeCell ref="B12:B13"/>
    <mergeCell ref="C12:C13"/>
    <mergeCell ref="G6:J6"/>
    <mergeCell ref="G8:H8"/>
    <mergeCell ref="I12:I13"/>
    <mergeCell ref="A3:J4"/>
    <mergeCell ref="G12:H12"/>
    <mergeCell ref="J12:J13"/>
    <mergeCell ref="E6:F6"/>
    <mergeCell ref="D50:E50"/>
    <mergeCell ref="A64:C64"/>
    <mergeCell ref="A66:C66"/>
    <mergeCell ref="D51:E51"/>
    <mergeCell ref="D53:E53"/>
    <mergeCell ref="D54:E54"/>
    <mergeCell ref="D57:E57"/>
    <mergeCell ref="D60:E60"/>
    <mergeCell ref="D59:E59"/>
    <mergeCell ref="D34:E34"/>
    <mergeCell ref="D32:E32"/>
    <mergeCell ref="L29:N29"/>
    <mergeCell ref="B32:B34"/>
    <mergeCell ref="L32:N34"/>
    <mergeCell ref="D29:E29"/>
    <mergeCell ref="G73:J73"/>
    <mergeCell ref="L25:N28"/>
    <mergeCell ref="D27:E27"/>
    <mergeCell ref="D26:E26"/>
    <mergeCell ref="D25:E25"/>
    <mergeCell ref="G72:J72"/>
    <mergeCell ref="D48:E48"/>
    <mergeCell ref="I34:J34"/>
    <mergeCell ref="D33:E33"/>
    <mergeCell ref="C40:E40"/>
  </mergeCells>
  <conditionalFormatting sqref="G32:H34 F25:F28 G16:H29 F37:H44 G47:H61">
    <cfRule type="expression" priority="21" dxfId="9" stopIfTrue="1">
      <formula>$S16=1</formula>
    </cfRule>
  </conditionalFormatting>
  <conditionalFormatting sqref="N8 N6">
    <cfRule type="expression" priority="23" dxfId="45" stopIfTrue="1">
      <formula>OR(M6&lt;28,M6&gt;32)</formula>
    </cfRule>
  </conditionalFormatting>
  <conditionalFormatting sqref="F14:H14 I37">
    <cfRule type="expression" priority="24" dxfId="9" stopIfTrue="1">
      <formula>$R14=1</formula>
    </cfRule>
  </conditionalFormatting>
  <conditionalFormatting sqref="P47 D60:D61 D47:D57">
    <cfRule type="expression" priority="25" dxfId="0" stopIfTrue="1">
      <formula>$W47&lt;&gt;0</formula>
    </cfRule>
  </conditionalFormatting>
  <conditionalFormatting sqref="D20:D21 D16:E19 D22:E24 D32:E34 C40:E40">
    <cfRule type="expression" priority="27" dxfId="0" stopIfTrue="1">
      <formula>$S16=1</formula>
    </cfRule>
  </conditionalFormatting>
  <conditionalFormatting sqref="N4">
    <cfRule type="expression" priority="59" dxfId="45" stopIfTrue="1">
      <formula>M4&lt;8</formula>
    </cfRule>
  </conditionalFormatting>
  <conditionalFormatting sqref="C14:C15">
    <cfRule type="expression" priority="67" dxfId="8" stopIfTrue="1">
      <formula>T14=0</formula>
    </cfRule>
  </conditionalFormatting>
  <conditionalFormatting sqref="C16:C17">
    <cfRule type="expression" priority="69" dxfId="8" stopIfTrue="1">
      <formula>S16=0</formula>
    </cfRule>
  </conditionalFormatting>
  <conditionalFormatting sqref="C41:E44">
    <cfRule type="expression" priority="70" dxfId="0" stopIfTrue="1">
      <formula>$S41=1</formula>
    </cfRule>
  </conditionalFormatting>
  <conditionalFormatting sqref="D62 M4">
    <cfRule type="cellIs" priority="28" dxfId="34" operator="lessThan" stopIfTrue="1">
      <formula>8</formula>
    </cfRule>
  </conditionalFormatting>
  <conditionalFormatting sqref="D64 D66 M6 M8">
    <cfRule type="cellIs" priority="29" dxfId="34" operator="notBetween" stopIfTrue="1">
      <formula>28</formula>
      <formula>32</formula>
    </cfRule>
  </conditionalFormatting>
  <conditionalFormatting sqref="E62 E64 E66">
    <cfRule type="expression" priority="30" dxfId="8" stopIfTrue="1">
      <formula>#REF!=0</formula>
    </cfRule>
    <cfRule type="expression" priority="31" dxfId="32" stopIfTrue="1">
      <formula>#REF!=1</formula>
    </cfRule>
  </conditionalFormatting>
  <conditionalFormatting sqref="D30:E30">
    <cfRule type="expression" priority="32" dxfId="0" stopIfTrue="1">
      <formula>#REF!*#REF!=1</formula>
    </cfRule>
  </conditionalFormatting>
  <conditionalFormatting sqref="L29:O29">
    <cfRule type="cellIs" priority="76" dxfId="46" operator="equal" stopIfTrue="1">
      <formula>"Privaloma pasirinkti kūno kultūros dalyką"</formula>
    </cfRule>
  </conditionalFormatting>
  <conditionalFormatting sqref="C29">
    <cfRule type="expression" priority="77" dxfId="8" stopIfTrue="1">
      <formula>$T$29=0</formula>
    </cfRule>
  </conditionalFormatting>
  <conditionalFormatting sqref="L37:O37 L25:O28">
    <cfRule type="cellIs" priority="43" dxfId="46" operator="equal" stopIfTrue="1">
      <formula>"Privaloma pasirinkti vieną menų dalyką B kursu"</formula>
    </cfRule>
  </conditionalFormatting>
  <conditionalFormatting sqref="D26:E26">
    <cfRule type="expression" priority="17" dxfId="0" stopIfTrue="1">
      <formula>$S$26*$T$26=1</formula>
    </cfRule>
  </conditionalFormatting>
  <conditionalFormatting sqref="D27:E27">
    <cfRule type="expression" priority="16" dxfId="0" stopIfTrue="1">
      <formula>$S$27*$T$27=1</formula>
    </cfRule>
  </conditionalFormatting>
  <conditionalFormatting sqref="D28:E28">
    <cfRule type="expression" priority="83" dxfId="0" stopIfTrue="1">
      <formula>$S$28*$T$28=1</formula>
    </cfRule>
  </conditionalFormatting>
  <conditionalFormatting sqref="L14:O15">
    <cfRule type="cellIs" priority="47" dxfId="46" operator="equal" stopIfTrue="1">
      <formula>"Privaloma pasirinkti vieną dorinio ugdymo dalyką"</formula>
    </cfRule>
  </conditionalFormatting>
  <conditionalFormatting sqref="L22:O24">
    <cfRule type="cellIs" priority="42" dxfId="46" operator="equal" stopIfTrue="1">
      <formula>"Privaloma pasirinkti bent vieną iš gamtos mokslų A arba B kursą"</formula>
    </cfRule>
  </conditionalFormatting>
  <conditionalFormatting sqref="F19">
    <cfRule type="expression" priority="39" dxfId="0" stopIfTrue="1">
      <formula>$S$19=1</formula>
    </cfRule>
  </conditionalFormatting>
  <conditionalFormatting sqref="O20:O21 L20:N20">
    <cfRule type="cellIs" priority="41" dxfId="46" operator="equal" stopIfTrue="1">
      <formula>"Privaloma pasirinkti matematikos A arba B kursą"</formula>
    </cfRule>
  </conditionalFormatting>
  <conditionalFormatting sqref="F18">
    <cfRule type="expression" priority="38" dxfId="0" stopIfTrue="1">
      <formula>$S$18=1</formula>
    </cfRule>
  </conditionalFormatting>
  <conditionalFormatting sqref="L18:O19">
    <cfRule type="cellIs" priority="40" dxfId="46" operator="equal" stopIfTrue="1">
      <formula>"Privaloma pasirinkti bent vieną iš socialinių mokslų A arba B kursą"</formula>
    </cfRule>
  </conditionalFormatting>
  <conditionalFormatting sqref="L17:O17">
    <cfRule type="cellIs" priority="49" dxfId="46" operator="equal" stopIfTrue="1">
      <formula>"Privaloma pasirinkti pirmąją užsienio kalbą"</formula>
    </cfRule>
  </conditionalFormatting>
  <conditionalFormatting sqref="F16">
    <cfRule type="expression" priority="45" dxfId="0" stopIfTrue="1">
      <formula>$S$16=1</formula>
    </cfRule>
  </conditionalFormatting>
  <conditionalFormatting sqref="F15:H15">
    <cfRule type="expression" priority="46" dxfId="9" stopIfTrue="1">
      <formula>$S$14=1</formula>
    </cfRule>
  </conditionalFormatting>
  <conditionalFormatting sqref="L16:O16">
    <cfRule type="cellIs" priority="48" dxfId="46" operator="equal" stopIfTrue="1">
      <formula>"Privaloma pasirinkti lietuvių k. A kursą"</formula>
    </cfRule>
  </conditionalFormatting>
  <conditionalFormatting sqref="C22">
    <cfRule type="expression" priority="52" dxfId="8" stopIfTrue="1">
      <formula>$T$22=0</formula>
    </cfRule>
  </conditionalFormatting>
  <conditionalFormatting sqref="C20">
    <cfRule type="expression" priority="51" dxfId="8" stopIfTrue="1">
      <formula>$S$20=0</formula>
    </cfRule>
  </conditionalFormatting>
  <conditionalFormatting sqref="C18:C19">
    <cfRule type="expression" priority="60" dxfId="8" stopIfTrue="1">
      <formula>AND($T$18=0,$T$19=0)</formula>
    </cfRule>
  </conditionalFormatting>
  <conditionalFormatting sqref="C25:C28">
    <cfRule type="expression" priority="101" dxfId="8" stopIfTrue="1">
      <formula>$T$25=0</formula>
    </cfRule>
  </conditionalFormatting>
  <conditionalFormatting sqref="D15:E15">
    <cfRule type="expression" priority="103" dxfId="9" stopIfTrue="1">
      <formula>$S$15*$T$15=1</formula>
    </cfRule>
  </conditionalFormatting>
  <conditionalFormatting sqref="D14:E14">
    <cfRule type="expression" priority="104" dxfId="9" stopIfTrue="1">
      <formula>$S$14*$T$14=1</formula>
    </cfRule>
  </conditionalFormatting>
  <conditionalFormatting sqref="C21">
    <cfRule type="expression" priority="105" dxfId="8" stopIfTrue="1">
      <formula>$S$21=0</formula>
    </cfRule>
  </conditionalFormatting>
  <conditionalFormatting sqref="L21:N21">
    <cfRule type="cellIs" priority="106" dxfId="46" operator="equal" stopIfTrue="1">
      <formula>"Galima pasirinkti informacinių technologijų A arba B kursą"</formula>
    </cfRule>
  </conditionalFormatting>
  <conditionalFormatting sqref="D25:E25">
    <cfRule type="expression" priority="107" dxfId="0" stopIfTrue="1">
      <formula>$S$25*$T$25=1</formula>
    </cfRule>
  </conditionalFormatting>
  <conditionalFormatting sqref="D29:E29">
    <cfRule type="expression" priority="108" dxfId="0" stopIfTrue="1">
      <formula>$S$29*$T$29=1</formula>
    </cfRule>
  </conditionalFormatting>
  <conditionalFormatting sqref="C37:E39">
    <cfRule type="expression" priority="110" dxfId="0" stopIfTrue="1">
      <formula>$S37=1</formula>
    </cfRule>
  </conditionalFormatting>
  <conditionalFormatting sqref="C38:E39">
    <cfRule type="expression" priority="149" dxfId="0" stopIfTrue="1">
      <formula>#REF!=1</formula>
    </cfRule>
  </conditionalFormatting>
  <conditionalFormatting sqref="D59">
    <cfRule type="expression" priority="151" dxfId="0" stopIfTrue="1">
      <formula>$W58&lt;&gt;0</formula>
    </cfRule>
  </conditionalFormatting>
  <printOptions/>
  <pageMargins left="1.1811023622047245" right="0.3937007874015748" top="0.7874015748031497" bottom="0.7874015748031497" header="0" footer="0"/>
  <pageSetup horizontalDpi="600" verticalDpi="600" orientation="portrait" paperSize="9" scale="57" r:id="rId2"/>
  <colBreaks count="1" manualBreakCount="1">
    <brk id="13" max="65535" man="1"/>
  </colBreaks>
  <ignoredErrors>
    <ignoredError sqref="L55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"/>
  <sheetViews>
    <sheetView zoomScalePageLayoutView="0" workbookViewId="0" topLeftCell="A1">
      <selection activeCell="BW4" sqref="BW4"/>
    </sheetView>
  </sheetViews>
  <sheetFormatPr defaultColWidth="9.140625" defaultRowHeight="12.75"/>
  <cols>
    <col min="1" max="1" width="6.140625" style="71" bestFit="1" customWidth="1"/>
    <col min="2" max="2" width="19.140625" style="71" customWidth="1"/>
    <col min="3" max="3" width="3.28125" style="71" customWidth="1"/>
    <col min="4" max="5" width="4.28125" style="71" customWidth="1"/>
    <col min="6" max="6" width="3.00390625" style="71" bestFit="1" customWidth="1"/>
    <col min="7" max="7" width="3.00390625" style="71" customWidth="1"/>
    <col min="8" max="9" width="3.00390625" style="71" bestFit="1" customWidth="1"/>
    <col min="10" max="13" width="3.00390625" style="71" customWidth="1"/>
    <col min="14" max="14" width="3.00390625" style="72" bestFit="1" customWidth="1"/>
    <col min="15" max="15" width="3.00390625" style="71" bestFit="1" customWidth="1"/>
    <col min="16" max="16" width="3.00390625" style="71" customWidth="1"/>
    <col min="17" max="21" width="3.00390625" style="71" bestFit="1" customWidth="1"/>
    <col min="22" max="22" width="3.00390625" style="71" customWidth="1"/>
    <col min="23" max="29" width="3.00390625" style="71" bestFit="1" customWidth="1"/>
    <col min="30" max="31" width="3.00390625" style="71" customWidth="1"/>
    <col min="32" max="32" width="3.00390625" style="71" bestFit="1" customWidth="1"/>
    <col min="33" max="33" width="3.00390625" style="71" customWidth="1"/>
    <col min="34" max="34" width="3.00390625" style="71" bestFit="1" customWidth="1"/>
    <col min="35" max="35" width="3.00390625" style="71" customWidth="1"/>
    <col min="36" max="36" width="3.00390625" style="71" bestFit="1" customWidth="1"/>
    <col min="37" max="37" width="3.00390625" style="71" customWidth="1"/>
    <col min="38" max="40" width="4.7109375" style="71" customWidth="1"/>
    <col min="41" max="41" width="3.140625" style="71" customWidth="1"/>
    <col min="42" max="43" width="3.8515625" style="71" customWidth="1"/>
    <col min="44" max="47" width="3.00390625" style="71" customWidth="1"/>
    <col min="48" max="48" width="3.421875" style="71" customWidth="1"/>
    <col min="49" max="52" width="4.7109375" style="71" customWidth="1"/>
    <col min="53" max="53" width="3.57421875" style="71" customWidth="1"/>
    <col min="54" max="54" width="3.57421875" style="90" customWidth="1"/>
    <col min="55" max="59" width="3.57421875" style="71" customWidth="1"/>
    <col min="60" max="62" width="4.57421875" style="71" customWidth="1"/>
    <col min="63" max="72" width="4.28125" style="71" customWidth="1"/>
    <col min="73" max="16384" width="9.140625" style="71" customWidth="1"/>
  </cols>
  <sheetData>
    <row r="1" spans="1:75" ht="13.5" customHeight="1">
      <c r="A1" s="282" t="s">
        <v>2</v>
      </c>
      <c r="B1" s="271" t="s">
        <v>44</v>
      </c>
      <c r="C1" s="271" t="s">
        <v>45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83"/>
      <c r="BJ1" s="83"/>
      <c r="BK1" s="271"/>
      <c r="BL1" s="271"/>
      <c r="BM1" s="271"/>
      <c r="BN1" s="271"/>
      <c r="BO1" s="271"/>
      <c r="BP1" s="271"/>
      <c r="BQ1" s="271"/>
      <c r="BR1" s="271"/>
      <c r="BS1" s="83"/>
      <c r="BT1" s="83"/>
      <c r="BU1" s="271" t="s">
        <v>46</v>
      </c>
      <c r="BV1" s="266" t="s">
        <v>85</v>
      </c>
      <c r="BW1" s="269" t="s">
        <v>103</v>
      </c>
    </row>
    <row r="2" spans="1:75" ht="57.75" customHeight="1">
      <c r="A2" s="282"/>
      <c r="B2" s="271"/>
      <c r="C2" s="271" t="s">
        <v>20</v>
      </c>
      <c r="D2" s="271"/>
      <c r="E2" s="83"/>
      <c r="F2" s="283" t="s">
        <v>47</v>
      </c>
      <c r="G2" s="283" t="s">
        <v>77</v>
      </c>
      <c r="H2" s="283" t="s">
        <v>78</v>
      </c>
      <c r="I2" s="271" t="s">
        <v>22</v>
      </c>
      <c r="J2" s="271"/>
      <c r="K2" s="271"/>
      <c r="L2" s="271"/>
      <c r="M2" s="271"/>
      <c r="N2" s="271"/>
      <c r="O2" s="271" t="s">
        <v>48</v>
      </c>
      <c r="P2" s="271"/>
      <c r="Q2" s="271"/>
      <c r="R2" s="271"/>
      <c r="S2" s="271"/>
      <c r="T2" s="283" t="s">
        <v>49</v>
      </c>
      <c r="U2" s="283" t="s">
        <v>91</v>
      </c>
      <c r="V2" s="283" t="s">
        <v>92</v>
      </c>
      <c r="W2" s="271" t="s">
        <v>50</v>
      </c>
      <c r="X2" s="271"/>
      <c r="Y2" s="271"/>
      <c r="Z2" s="271"/>
      <c r="AA2" s="271"/>
      <c r="AB2" s="271"/>
      <c r="AC2" s="266" t="s">
        <v>51</v>
      </c>
      <c r="AD2" s="267"/>
      <c r="AE2" s="267"/>
      <c r="AF2" s="267"/>
      <c r="AG2" s="267"/>
      <c r="AH2" s="267"/>
      <c r="AI2" s="267"/>
      <c r="AJ2" s="267"/>
      <c r="AK2" s="267" t="s">
        <v>81</v>
      </c>
      <c r="AL2" s="267"/>
      <c r="AM2" s="267"/>
      <c r="AN2" s="267"/>
      <c r="AO2" s="268"/>
      <c r="AP2" s="271" t="s">
        <v>33</v>
      </c>
      <c r="AQ2" s="271"/>
      <c r="AR2" s="266" t="s">
        <v>35</v>
      </c>
      <c r="AS2" s="267"/>
      <c r="AT2" s="267"/>
      <c r="AU2" s="268"/>
      <c r="AV2" s="274" t="s">
        <v>52</v>
      </c>
      <c r="AW2" s="274" t="s">
        <v>98</v>
      </c>
      <c r="AX2" s="274" t="s">
        <v>99</v>
      </c>
      <c r="AY2" s="274" t="s">
        <v>100</v>
      </c>
      <c r="AZ2" s="92"/>
      <c r="BA2" s="270" t="s">
        <v>102</v>
      </c>
      <c r="BB2" s="272" t="s">
        <v>101</v>
      </c>
      <c r="BC2" s="270" t="s">
        <v>69</v>
      </c>
      <c r="BD2" s="270" t="s">
        <v>70</v>
      </c>
      <c r="BE2" s="270" t="s">
        <v>40</v>
      </c>
      <c r="BF2" s="270" t="s">
        <v>39</v>
      </c>
      <c r="BG2" s="270" t="s">
        <v>71</v>
      </c>
      <c r="BH2" s="281" t="s">
        <v>105</v>
      </c>
      <c r="BI2" s="94"/>
      <c r="BJ2" s="279" t="s">
        <v>123</v>
      </c>
      <c r="BK2" s="280"/>
      <c r="BL2" s="98" t="s">
        <v>27</v>
      </c>
      <c r="BM2" s="85" t="s">
        <v>28</v>
      </c>
      <c r="BN2" s="275" t="s">
        <v>30</v>
      </c>
      <c r="BO2" s="276"/>
      <c r="BP2" s="85" t="s">
        <v>29</v>
      </c>
      <c r="BQ2" s="277" t="s">
        <v>53</v>
      </c>
      <c r="BR2" s="278"/>
      <c r="BS2" s="270" t="s">
        <v>112</v>
      </c>
      <c r="BT2" s="270" t="s">
        <v>110</v>
      </c>
      <c r="BU2" s="271"/>
      <c r="BV2" s="266"/>
      <c r="BW2" s="269"/>
    </row>
    <row r="3" spans="1:75" s="72" customFormat="1" ht="116.25" customHeight="1">
      <c r="A3" s="282"/>
      <c r="B3" s="271"/>
      <c r="C3" s="84" t="s">
        <v>76</v>
      </c>
      <c r="D3" s="84" t="s">
        <v>104</v>
      </c>
      <c r="E3" s="97" t="s">
        <v>122</v>
      </c>
      <c r="F3" s="283"/>
      <c r="G3" s="283"/>
      <c r="H3" s="283"/>
      <c r="I3" s="84" t="s">
        <v>115</v>
      </c>
      <c r="J3" s="84" t="s">
        <v>116</v>
      </c>
      <c r="K3" s="84" t="s">
        <v>117</v>
      </c>
      <c r="L3" s="84" t="s">
        <v>118</v>
      </c>
      <c r="M3" s="84" t="s">
        <v>119</v>
      </c>
      <c r="N3" s="84" t="s">
        <v>120</v>
      </c>
      <c r="O3" s="84" t="s">
        <v>54</v>
      </c>
      <c r="P3" s="84" t="s">
        <v>79</v>
      </c>
      <c r="Q3" s="84" t="s">
        <v>80</v>
      </c>
      <c r="R3" s="84" t="s">
        <v>55</v>
      </c>
      <c r="S3" s="84" t="s">
        <v>56</v>
      </c>
      <c r="T3" s="283"/>
      <c r="U3" s="283"/>
      <c r="V3" s="283"/>
      <c r="W3" s="84" t="s">
        <v>57</v>
      </c>
      <c r="X3" s="84" t="s">
        <v>58</v>
      </c>
      <c r="Y3" s="84" t="s">
        <v>61</v>
      </c>
      <c r="Z3" s="84" t="s">
        <v>62</v>
      </c>
      <c r="AA3" s="84" t="s">
        <v>59</v>
      </c>
      <c r="AB3" s="84" t="s">
        <v>60</v>
      </c>
      <c r="AC3" s="84" t="s">
        <v>63</v>
      </c>
      <c r="AD3" s="84" t="s">
        <v>93</v>
      </c>
      <c r="AE3" s="84" t="s">
        <v>113</v>
      </c>
      <c r="AF3" s="84" t="s">
        <v>64</v>
      </c>
      <c r="AG3" s="84" t="s">
        <v>94</v>
      </c>
      <c r="AH3" s="84" t="s">
        <v>65</v>
      </c>
      <c r="AI3" s="84" t="s">
        <v>95</v>
      </c>
      <c r="AJ3" s="86" t="s">
        <v>114</v>
      </c>
      <c r="AK3" s="86" t="s">
        <v>96</v>
      </c>
      <c r="AL3" s="86" t="s">
        <v>82</v>
      </c>
      <c r="AM3" s="84" t="s">
        <v>83</v>
      </c>
      <c r="AN3" s="97" t="s">
        <v>121</v>
      </c>
      <c r="AO3" s="86" t="s">
        <v>97</v>
      </c>
      <c r="AP3" s="84" t="s">
        <v>66</v>
      </c>
      <c r="AQ3" s="84" t="s">
        <v>84</v>
      </c>
      <c r="AR3" s="84" t="s">
        <v>36</v>
      </c>
      <c r="AS3" s="84" t="s">
        <v>24</v>
      </c>
      <c r="AT3" s="84" t="s">
        <v>23</v>
      </c>
      <c r="AU3" s="84" t="s">
        <v>38</v>
      </c>
      <c r="AV3" s="274"/>
      <c r="AW3" s="274"/>
      <c r="AX3" s="274"/>
      <c r="AY3" s="274"/>
      <c r="AZ3" s="92" t="s">
        <v>107</v>
      </c>
      <c r="BA3" s="270"/>
      <c r="BB3" s="273"/>
      <c r="BC3" s="270"/>
      <c r="BD3" s="270"/>
      <c r="BE3" s="270"/>
      <c r="BF3" s="270"/>
      <c r="BG3" s="270"/>
      <c r="BH3" s="270"/>
      <c r="BI3" s="84" t="s">
        <v>108</v>
      </c>
      <c r="BJ3" s="84" t="s">
        <v>124</v>
      </c>
      <c r="BK3" s="86" t="s">
        <v>125</v>
      </c>
      <c r="BL3" s="86" t="s">
        <v>72</v>
      </c>
      <c r="BM3" s="84" t="s">
        <v>73</v>
      </c>
      <c r="BN3" s="84" t="s">
        <v>88</v>
      </c>
      <c r="BO3" s="93" t="s">
        <v>109</v>
      </c>
      <c r="BP3" s="84" t="s">
        <v>74</v>
      </c>
      <c r="BQ3" s="84" t="s">
        <v>75</v>
      </c>
      <c r="BR3" s="95" t="s">
        <v>111</v>
      </c>
      <c r="BS3" s="270"/>
      <c r="BT3" s="270"/>
      <c r="BU3" s="271"/>
      <c r="BV3" s="266"/>
      <c r="BW3" s="269"/>
    </row>
    <row r="4" spans="1:75" s="72" customFormat="1" ht="12.75">
      <c r="A4" s="87">
        <f>Anketa_2015!G8</f>
        <v>0</v>
      </c>
      <c r="B4" s="87" t="str">
        <f>Anketa_2015!G6&amp;" "&amp;Anketa_2015!D6</f>
        <v> </v>
      </c>
      <c r="C4" s="87">
        <f>Anketa_2015!X14</f>
      </c>
      <c r="D4" s="87">
        <f>Anketa_2015!X15</f>
      </c>
      <c r="E4" s="87" t="e">
        <f>Anketa_2015!#REF!</f>
        <v>#REF!</v>
      </c>
      <c r="F4" s="87">
        <f>IF(Anketa_2015!Q16,Anketa_2015!X16,"")</f>
      </c>
      <c r="G4" s="87">
        <f>IF(Anketa_2015!R16,Anketa_2015!X16,"")</f>
      </c>
      <c r="H4" s="87" t="e">
        <f>IF(Anketa_2015!#REF!,Anketa_2015!X16,"")</f>
        <v>#REF!</v>
      </c>
      <c r="I4" s="87">
        <f>IF(Anketa_2015!R17,Anketa_2015!X17,"")</f>
      </c>
      <c r="J4" s="87" t="e">
        <f>IF(Anketa_2015!#REF!,Anketa_2015!X17,"")</f>
        <v>#REF!</v>
      </c>
      <c r="K4" s="87" t="e">
        <f>IF(Anketa_2015!#REF!,Anketa_2015!#REF!,"")</f>
        <v>#REF!</v>
      </c>
      <c r="L4" s="87" t="e">
        <f>IF(Anketa_2015!#REF!,Anketa_2015!#REF!,"")</f>
        <v>#REF!</v>
      </c>
      <c r="M4" s="87" t="e">
        <f>IF(Anketa_2015!#REF!,Anketa_2015!#REF!,"")</f>
        <v>#REF!</v>
      </c>
      <c r="N4" s="87" t="e">
        <f>IF(Anketa_2015!#REF!,Anketa_2015!#REF!,"")</f>
        <v>#REF!</v>
      </c>
      <c r="O4" s="87">
        <f>IF(Anketa_2015!Q18,Anketa_2015!X18,"")</f>
      </c>
      <c r="P4" s="87">
        <f>IF(Anketa_2015!R18,Anketa_2015!X18,"")</f>
      </c>
      <c r="Q4" s="87" t="e">
        <f>IF(Anketa_2015!#REF!,Anketa_2015!X18,"")</f>
        <v>#REF!</v>
      </c>
      <c r="R4" s="87">
        <f>IF(Anketa_2015!Q19,Anketa_2015!X19,"")</f>
      </c>
      <c r="S4" s="87">
        <f>IF(Anketa_2015!R19,Anketa_2015!X19,"")</f>
      </c>
      <c r="T4" s="87">
        <f>IF(Anketa_2015!Q20,Anketa_2015!X20,"")</f>
      </c>
      <c r="U4" s="87">
        <f>IF(Anketa_2015!R20,Anketa_2015!X20,"")</f>
      </c>
      <c r="V4" s="87" t="e">
        <f>IF(Anketa_2015!#REF!,Anketa_2015!X20,"")</f>
        <v>#REF!</v>
      </c>
      <c r="W4" s="87">
        <f>IF(Anketa_2015!Q22,Anketa_2015!X22,"")</f>
      </c>
      <c r="X4" s="87">
        <f>IF(Anketa_2015!R22,Anketa_2015!X22,"")</f>
      </c>
      <c r="Y4" s="87">
        <f>IF(Anketa_2015!Q23,Anketa_2015!X23,"")</f>
      </c>
      <c r="Z4" s="87">
        <f>IF(Anketa_2015!R23,Anketa_2015!X23,"")</f>
      </c>
      <c r="AA4" s="87">
        <f>IF(Anketa_2015!Q24,Anketa_2015!X24,"")</f>
      </c>
      <c r="AB4" s="87">
        <f>IF(Anketa_2015!R24,Anketa_2015!X24,"")</f>
      </c>
      <c r="AC4" s="87">
        <f>IF(Anketa_2015!Q25,Anketa_2015!X25,"")</f>
      </c>
      <c r="AD4" s="87">
        <f>IF(Anketa_2015!R25,Anketa_2015!X25,"")</f>
      </c>
      <c r="AE4" s="87" t="e">
        <f>Anketa_2015!#REF!</f>
        <v>#REF!</v>
      </c>
      <c r="AF4" s="87" t="e">
        <f>IF(Anketa_2015!#REF!,Anketa_2015!#REF!,"")</f>
        <v>#REF!</v>
      </c>
      <c r="AG4" s="87" t="e">
        <f>IF(Anketa_2015!#REF!,Anketa_2015!#REF!,"")</f>
        <v>#REF!</v>
      </c>
      <c r="AH4" s="87">
        <f>IF(Anketa_2015!Q26,Anketa_2015!X26,"")</f>
      </c>
      <c r="AI4" s="87">
        <f>IF(Anketa_2015!R26,Anketa_2015!X26,"")</f>
      </c>
      <c r="AJ4" s="87">
        <f>Anketa_2015!X27</f>
      </c>
      <c r="AK4" s="87" t="e">
        <f>Anketa_2015!#REF!</f>
        <v>#REF!</v>
      </c>
      <c r="AL4" s="87" t="e">
        <f>Anketa_2015!#REF!</f>
        <v>#REF!</v>
      </c>
      <c r="AM4" s="87" t="e">
        <f>Anketa_2015!#REF!</f>
        <v>#REF!</v>
      </c>
      <c r="AN4" s="87" t="e">
        <f>Anketa_2015!#REF!</f>
        <v>#REF!</v>
      </c>
      <c r="AO4" s="87" t="e">
        <f>Anketa_2015!#REF!</f>
        <v>#REF!</v>
      </c>
      <c r="AP4" s="87" t="e">
        <f>Anketa_2015!#REF!</f>
        <v>#REF!</v>
      </c>
      <c r="AQ4" s="87" t="e">
        <f>Anketa_2015!#REF!</f>
        <v>#REF!</v>
      </c>
      <c r="AR4" s="87">
        <f>IF(Anketa_2015!R33,Anketa_2015!X33,"")</f>
      </c>
      <c r="AS4" s="87">
        <f>IF(Anketa_2015!R34,Anketa_2015!X34,"")</f>
      </c>
      <c r="AT4" s="87" t="e">
        <f>IF(Anketa_2015!#REF!,Anketa_2015!#REF!,"")</f>
        <v>#REF!</v>
      </c>
      <c r="AU4" s="87" t="e">
        <f>IF(Anketa_2015!#REF!,Anketa_2015!#REF!,"")</f>
        <v>#REF!</v>
      </c>
      <c r="AV4" s="87" t="e">
        <f>Anketa_2015!#REF!</f>
        <v>#REF!</v>
      </c>
      <c r="AW4" s="87" t="e">
        <f>Anketa_2015!#REF!</f>
        <v>#REF!</v>
      </c>
      <c r="AX4" s="87" t="e">
        <f>Anketa_2015!#REF!</f>
        <v>#REF!</v>
      </c>
      <c r="AY4" s="87" t="e">
        <f>Anketa_2015!#REF!</f>
        <v>#REF!</v>
      </c>
      <c r="AZ4" s="87" t="e">
        <f>Anketa_2015!#REF!</f>
        <v>#REF!</v>
      </c>
      <c r="BA4" s="87">
        <f>Anketa_2015!X41</f>
      </c>
      <c r="BB4" s="89">
        <f>Anketa_2015!X42</f>
      </c>
      <c r="BC4" s="87" t="e">
        <f>Anketa_2015!#REF!</f>
        <v>#REF!</v>
      </c>
      <c r="BD4" s="87" t="e">
        <f>Anketa_2015!#REF!</f>
        <v>#REF!</v>
      </c>
      <c r="BE4" s="87" t="e">
        <f>Anketa_2015!#REF!</f>
        <v>#REF!</v>
      </c>
      <c r="BF4" s="87" t="e">
        <f>Anketa_2015!#REF!</f>
        <v>#REF!</v>
      </c>
      <c r="BG4" s="87" t="e">
        <f>Anketa_2015!#REF!</f>
        <v>#REF!</v>
      </c>
      <c r="BH4" s="87" t="e">
        <f>Anketa_2015!#REF!</f>
        <v>#REF!</v>
      </c>
      <c r="BI4" s="87" t="e">
        <f>Anketa_2015!#REF!</f>
        <v>#REF!</v>
      </c>
      <c r="BJ4" s="87">
        <f>Anketa_2015!X48</f>
      </c>
      <c r="BK4" s="87" t="e">
        <f>Anketa_2015!#REF!</f>
        <v>#REF!</v>
      </c>
      <c r="BL4" s="87">
        <f>Anketa_2015!X50</f>
      </c>
      <c r="BM4" s="87" t="e">
        <f>Anketa_2015!#REF!</f>
        <v>#REF!</v>
      </c>
      <c r="BN4" s="87">
        <f>Anketa_2015!X53</f>
      </c>
      <c r="BO4" s="87" t="e">
        <f>Anketa_2015!#REF!</f>
        <v>#REF!</v>
      </c>
      <c r="BP4" s="87" t="e">
        <f>Anketa_2015!#REF!</f>
        <v>#REF!</v>
      </c>
      <c r="BQ4" s="87" t="e">
        <f>Anketa_2015!#REF!</f>
        <v>#REF!</v>
      </c>
      <c r="BR4" s="96" t="e">
        <f>Anketa_2015!#REF!</f>
        <v>#REF!</v>
      </c>
      <c r="BS4" s="87" t="e">
        <f>Anketa_2015!#REF!</f>
        <v>#REF!</v>
      </c>
      <c r="BT4" s="87" t="e">
        <f>Anketa_2015!#REF!</f>
        <v>#REF!</v>
      </c>
      <c r="BU4" s="87" t="e">
        <f>SUM(C4:BT4)</f>
        <v>#REF!</v>
      </c>
      <c r="BV4" s="91">
        <f>Anketa_2015!D62</f>
        <v>0</v>
      </c>
      <c r="BW4" s="87">
        <f>Anketa_2015!D68</f>
        <v>0</v>
      </c>
    </row>
    <row r="7" ht="12.75" customHeight="1"/>
    <row r="8" ht="12.75" customHeight="1"/>
    <row r="9" spans="47:52" ht="12.75" customHeight="1">
      <c r="AU9" s="73"/>
      <c r="AV9" s="73"/>
      <c r="AW9" s="73"/>
      <c r="AX9" s="73"/>
      <c r="AY9" s="73"/>
      <c r="AZ9" s="73"/>
    </row>
    <row r="10" spans="32:52" ht="12.75" customHeight="1">
      <c r="AF10" s="69"/>
      <c r="AU10" s="73"/>
      <c r="AV10" s="73"/>
      <c r="AW10" s="73"/>
      <c r="AX10" s="73"/>
      <c r="AY10" s="69"/>
      <c r="AZ10" s="69"/>
    </row>
    <row r="11" spans="47:52" ht="12.75" customHeight="1">
      <c r="AU11" s="73"/>
      <c r="AV11" s="73"/>
      <c r="AW11" s="73"/>
      <c r="AX11" s="73"/>
      <c r="AY11" s="69"/>
      <c r="AZ11" s="69"/>
    </row>
    <row r="12" spans="47:52" ht="12.75" customHeight="1">
      <c r="AU12" s="73"/>
      <c r="AV12" s="73"/>
      <c r="AW12" s="73"/>
      <c r="AX12" s="73"/>
      <c r="AY12" s="69"/>
      <c r="AZ12" s="69"/>
    </row>
    <row r="13" spans="47:52" ht="12.75" customHeight="1">
      <c r="AU13" s="73"/>
      <c r="AV13" s="73"/>
      <c r="AW13" s="73"/>
      <c r="AX13" s="73"/>
      <c r="AY13" s="69"/>
      <c r="AZ13" s="69"/>
    </row>
    <row r="14" spans="47:52" ht="12.75" customHeight="1">
      <c r="AU14" s="73"/>
      <c r="AV14" s="73"/>
      <c r="AW14" s="73"/>
      <c r="AX14" s="73"/>
      <c r="AY14" s="73"/>
      <c r="AZ14" s="73"/>
    </row>
    <row r="15" spans="47:52" ht="12.75" customHeight="1">
      <c r="AU15" s="73"/>
      <c r="AV15" s="73"/>
      <c r="AW15" s="73"/>
      <c r="AX15" s="73"/>
      <c r="AY15" s="73"/>
      <c r="AZ15" s="73"/>
    </row>
    <row r="16" ht="12.75" customHeight="1"/>
    <row r="17" ht="12.75" customHeight="1"/>
    <row r="18" ht="12.75" customHeight="1"/>
    <row r="19" ht="12.75" customHeight="1"/>
  </sheetData>
  <sheetProtection/>
  <mergeCells count="39">
    <mergeCell ref="F2:F3"/>
    <mergeCell ref="W2:AB2"/>
    <mergeCell ref="C1:AQ1"/>
    <mergeCell ref="C2:D2"/>
    <mergeCell ref="AK2:AO2"/>
    <mergeCell ref="AP2:AQ2"/>
    <mergeCell ref="A1:A3"/>
    <mergeCell ref="B1:B3"/>
    <mergeCell ref="G2:G3"/>
    <mergeCell ref="AC2:AJ2"/>
    <mergeCell ref="I2:N2"/>
    <mergeCell ref="H2:H3"/>
    <mergeCell ref="V2:V3"/>
    <mergeCell ref="O2:S2"/>
    <mergeCell ref="T2:T3"/>
    <mergeCell ref="U2:U3"/>
    <mergeCell ref="AV2:AV3"/>
    <mergeCell ref="BG2:BG3"/>
    <mergeCell ref="AW2:AW3"/>
    <mergeCell ref="AY2:AY3"/>
    <mergeCell ref="BH2:BH3"/>
    <mergeCell ref="BD2:BD3"/>
    <mergeCell ref="BE2:BE3"/>
    <mergeCell ref="BU1:BU3"/>
    <mergeCell ref="BN2:BO2"/>
    <mergeCell ref="BQ2:BR2"/>
    <mergeCell ref="BS2:BS3"/>
    <mergeCell ref="BT2:BT3"/>
    <mergeCell ref="BJ2:BK2"/>
    <mergeCell ref="AR2:AU2"/>
    <mergeCell ref="BW1:BW3"/>
    <mergeCell ref="BV1:BV3"/>
    <mergeCell ref="BA2:BA3"/>
    <mergeCell ref="BK1:BR1"/>
    <mergeCell ref="BC2:BC3"/>
    <mergeCell ref="BB2:BB3"/>
    <mergeCell ref="AR1:BH1"/>
    <mergeCell ref="BF2:BF3"/>
    <mergeCell ref="AX2:AX3"/>
  </mergeCells>
  <conditionalFormatting sqref="AY10:AZ13">
    <cfRule type="expression" priority="6" dxfId="0" stopIfTrue="1">
      <formula>$U10*$W10=1</formula>
    </cfRule>
  </conditionalFormatting>
  <conditionalFormatting sqref="AF10">
    <cfRule type="expression" priority="5" dxfId="0" stopIfTrue="1">
      <formula>$Y10*$Z10=1</formula>
    </cfRule>
  </conditionalFormatting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DP</cp:lastModifiedBy>
  <cp:lastPrinted>2015-05-28T11:18:09Z</cp:lastPrinted>
  <dcterms:created xsi:type="dcterms:W3CDTF">2010-02-12T08:48:25Z</dcterms:created>
  <dcterms:modified xsi:type="dcterms:W3CDTF">2015-05-28T11:18:47Z</dcterms:modified>
  <cp:category/>
  <cp:version/>
  <cp:contentType/>
  <cp:contentStatus/>
</cp:coreProperties>
</file>